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EstaPastaDeTrabalho"/>
  <mc:AlternateContent xmlns:mc="http://schemas.openxmlformats.org/markup-compatibility/2006">
    <mc:Choice Requires="x15">
      <x15ac:absPath xmlns:x15ac="http://schemas.microsoft.com/office/spreadsheetml/2010/11/ac" url="https://rbrasset1.sharepoint.com/sites/ri-sharepoint/Documentos Compartilhados/APRESENTAÇÕES E MATERIAIS/01. CRÉDITO BR/RPRI11/PLANILHA DE FUNDAMENTOS/"/>
    </mc:Choice>
  </mc:AlternateContent>
  <xr:revisionPtr revIDLastSave="2135" documentId="13_ncr:1_{B298BA70-C481-4539-95BF-3DED293F43A0}" xr6:coauthVersionLast="47" xr6:coauthVersionMax="47" xr10:uidLastSave="{C5429668-A68D-45F4-BD87-6E9DB4069B60}"/>
  <workbookProtection workbookAlgorithmName="SHA-512" workbookHashValue="Bdnnqtu77wn8Cxj/1SjC/NYQsLCAv4ynL8Ghf6Ix7e1VlIfzifuBXqik8A7Lo8Ye8JWYbTaSY53xUOTRIbq4Ow==" workbookSaltValue="yTlgzEa3DLXOBJ5V6+VYQw==" workbookSpinCount="100000" lockStructure="1"/>
  <bookViews>
    <workbookView xWindow="16284" yWindow="-1740" windowWidth="23256" windowHeight="12456" xr2:uid="{1D24BC7B-CD6F-4A26-B7F2-4B34EA7193E5}"/>
  </bookViews>
  <sheets>
    <sheet name="Carteira de CRIs" sheetId="10" r:id="rId1"/>
    <sheet name="Resumo CRIs por CETIP" sheetId="14" r:id="rId2"/>
    <sheet name="Resultado" sheetId="11" r:id="rId3"/>
    <sheet name="Sensibilidade" sheetId="8" r:id="rId4"/>
    <sheet name="aux_sensibilidade" sheetId="9" state="hidden" r:id="rId5"/>
  </sheets>
  <externalReferences>
    <externalReference r:id="rId6"/>
  </externalReferences>
  <definedNames>
    <definedName name="_xlnm._FilterDatabase" localSheetId="0" hidden="1">'Carteira de CRIs'!$B$6:$AA$32</definedName>
    <definedName name="BOMONTH" comment="Begining of the month">_xlfn.LAMBDA(_xlpm.dt,_xlpm.dt - DAY(_xlpm.dt) + 1)</definedName>
    <definedName name="feriado" localSheetId="2">[1]Feriado!$A$2:$A$937</definedName>
    <definedName name="feriado">#REF!</definedName>
    <definedName name="GROUPBY.SUM" comment="Group by fields applying SUM of the values">_xlfn.LAMBDA(_xlpm.group_key,_xlpm.values,_xlop.header,_xlop.include_header,_xlop.sort,_xlfn.LET(_xlpm.h, IF(_xlfn.ISOMITTED(_xlpm.header), _xlfn.HSTACK("fields", "values"), _xlpm.header), _xlpm.rh, _xlfn.REDUCE(_xlpm.h, _xlfn.UNIQUE(_xlpm.group_key), _xlfn.LAMBDA(_xlpm.acc,_xlpm.x, _xlfn.VSTACK(_xlpm.acc, _xlfn.HSTACK(_xlpm.x, SUMIFS(_xlpm.values, _xlpm.group_key, _xlpm.x))))), _xlpm.s, IF(OR(_xlfn.ISOMITTED(_xlpm.sort), _xlpm.sort = TRUE()), TRUE(), FALSE()), _xlpm.srh, IF(_xlpm.s = TRUE(), _xlfn._xlws.SORT(_xlpm.rh, 2, -1, FALSE), _xlpm.rh), IF(OR(_xlfn.ISOMITTED(_xlpm.include_header), _xlpm.include_header = 1), _xlpm.srh, _xlfn.DROP(_xlpm.srh, 1))))</definedName>
    <definedName name="IN" comment="Check if value is in array">_xlfn.LAMBDA(_xlpm.value,_xlpm.array,ISNUMBER(MATCH(_xlpm.value, _xlpm.array, 0)))</definedName>
    <definedName name="NULL">#REF!</definedName>
    <definedName name="SETDIFF" comment="List 1 minus list 2">_xlfn.LAMBDA(_xlpm.list1,_xlpm.list2,_xlfn._xlws.FILTER(_xlpm.list1, NOT(ISNUMBER(MATCH(_xlpm.list1, _xlpm.list2, 0))), [0]!NULL))</definedName>
    <definedName name="SETINTERSECT" comment="Set intersection">_xlfn.LAMBDA(_xlpm.list1,_xlpm.list2,_xlfn._xlws.FILTER(_xlpm.list1, ISNUMBER(MATCH(_xlpm.list1, _xlpm.list2, 0)), [0]!NULL))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4" l="1"/>
  <c r="H18" i="8" l="1"/>
  <c r="B4" i="8" l="1"/>
  <c r="B4" i="11"/>
  <c r="B26" i="8" l="1"/>
  <c r="J141" i="9" l="1"/>
  <c r="I141" i="9" s="1"/>
  <c r="H141" i="9" s="1"/>
  <c r="H144" i="9" l="1" a="1"/>
  <c r="H144" i="9" s="1"/>
  <c r="I63" i="9" l="1"/>
  <c r="J69" i="9" s="1"/>
  <c r="I62" i="9"/>
  <c r="J68" i="9" s="1"/>
  <c r="B36" i="8" a="1"/>
  <c r="B36" i="8" s="1"/>
  <c r="C20" i="8" a="1"/>
  <c r="C20" i="8" s="1"/>
  <c r="J83" i="9"/>
  <c r="J82" i="9" s="1"/>
  <c r="I82" i="9" s="1"/>
  <c r="K71" i="9"/>
  <c r="J71" i="9"/>
  <c r="I71" i="9"/>
  <c r="K70" i="9"/>
  <c r="K69" i="9"/>
  <c r="K68" i="9"/>
  <c r="J70" i="9"/>
  <c r="I83" i="9" l="1"/>
  <c r="H83" i="9" s="1"/>
  <c r="J74" i="9"/>
  <c r="L141" i="9" s="1"/>
  <c r="K144" i="9" s="1"/>
  <c r="H82" i="9"/>
  <c r="J81" i="9"/>
  <c r="I81" i="9" s="1"/>
  <c r="I68" i="9"/>
  <c r="I70" i="9"/>
  <c r="I69" i="9"/>
  <c r="J84" i="9"/>
  <c r="I84" i="9" s="1"/>
  <c r="L144" i="9" l="1"/>
  <c r="K27" i="8" s="1" a="1"/>
  <c r="K27" i="8" s="1"/>
  <c r="I74" i="9"/>
  <c r="K141" i="9" s="1"/>
  <c r="L82" i="9"/>
  <c r="K114" i="9" s="1"/>
  <c r="K130" i="9" s="1"/>
  <c r="L83" i="9"/>
  <c r="K115" i="9" s="1"/>
  <c r="K131" i="9" s="1"/>
  <c r="H81" i="9"/>
  <c r="L81" i="9" s="1"/>
  <c r="J80" i="9"/>
  <c r="I80" i="9" s="1"/>
  <c r="J85" i="9"/>
  <c r="I85" i="9" s="1"/>
  <c r="H84" i="9"/>
  <c r="L84" i="9" s="1"/>
  <c r="L114" i="9" l="1"/>
  <c r="L130" i="9" s="1"/>
  <c r="K83" i="9"/>
  <c r="L99" i="9" s="1"/>
  <c r="L115" i="9"/>
  <c r="L131" i="9" s="1"/>
  <c r="K82" i="9"/>
  <c r="L98" i="9" s="1"/>
  <c r="K81" i="9"/>
  <c r="L97" i="9" s="1"/>
  <c r="J86" i="9"/>
  <c r="I86" i="9" s="1"/>
  <c r="H85" i="9"/>
  <c r="K84" i="9"/>
  <c r="L116" i="9"/>
  <c r="L132" i="9" s="1"/>
  <c r="K116" i="9"/>
  <c r="K132" i="9" s="1"/>
  <c r="J79" i="9"/>
  <c r="I79" i="9" s="1"/>
  <c r="H80" i="9"/>
  <c r="L113" i="9"/>
  <c r="L129" i="9" s="1"/>
  <c r="K113" i="9"/>
  <c r="K129" i="9" s="1"/>
  <c r="K99" i="9" l="1"/>
  <c r="K98" i="9"/>
  <c r="K97" i="9"/>
  <c r="J87" i="9"/>
  <c r="I87" i="9" s="1"/>
  <c r="H86" i="9"/>
  <c r="L85" i="9"/>
  <c r="K85" i="9"/>
  <c r="L100" i="9"/>
  <c r="K100" i="9"/>
  <c r="L80" i="9"/>
  <c r="K80" i="9"/>
  <c r="J78" i="9"/>
  <c r="I78" i="9" s="1"/>
  <c r="H79" i="9"/>
  <c r="J77" i="9" l="1"/>
  <c r="H78" i="9"/>
  <c r="L79" i="9"/>
  <c r="K79" i="9"/>
  <c r="L86" i="9"/>
  <c r="K86" i="9"/>
  <c r="L101" i="9"/>
  <c r="K101" i="9"/>
  <c r="L117" i="9"/>
  <c r="L133" i="9" s="1"/>
  <c r="K117" i="9"/>
  <c r="K133" i="9" s="1"/>
  <c r="L96" i="9"/>
  <c r="K96" i="9"/>
  <c r="L112" i="9"/>
  <c r="L128" i="9" s="1"/>
  <c r="K112" i="9"/>
  <c r="K128" i="9" s="1"/>
  <c r="J88" i="9"/>
  <c r="I88" i="9" s="1"/>
  <c r="H87" i="9"/>
  <c r="I77" i="9" l="1"/>
  <c r="H77" i="9" s="1"/>
  <c r="L77" i="9" s="1"/>
  <c r="L102" i="9"/>
  <c r="K102" i="9"/>
  <c r="L118" i="9"/>
  <c r="L134" i="9" s="1"/>
  <c r="K118" i="9"/>
  <c r="K134" i="9" s="1"/>
  <c r="K95" i="9"/>
  <c r="L95" i="9"/>
  <c r="K111" i="9"/>
  <c r="K127" i="9" s="1"/>
  <c r="L111" i="9"/>
  <c r="L127" i="9" s="1"/>
  <c r="J89" i="9"/>
  <c r="I89" i="9" s="1"/>
  <c r="H88" i="9"/>
  <c r="L78" i="9"/>
  <c r="K78" i="9"/>
  <c r="L87" i="9"/>
  <c r="K87" i="9"/>
  <c r="K77" i="9" l="1"/>
  <c r="L93" i="9" s="1"/>
  <c r="L94" i="9"/>
  <c r="K94" i="9"/>
  <c r="L109" i="9"/>
  <c r="K109" i="9"/>
  <c r="K125" i="9" s="1"/>
  <c r="J90" i="9"/>
  <c r="I90" i="9" s="1"/>
  <c r="H89" i="9"/>
  <c r="L110" i="9"/>
  <c r="L126" i="9" s="1"/>
  <c r="K110" i="9"/>
  <c r="K126" i="9" s="1"/>
  <c r="L88" i="9"/>
  <c r="K88" i="9"/>
  <c r="L103" i="9"/>
  <c r="K103" i="9"/>
  <c r="L119" i="9"/>
  <c r="L135" i="9" s="1"/>
  <c r="K119" i="9"/>
  <c r="K135" i="9" s="1"/>
  <c r="K93" i="9" l="1"/>
  <c r="H90" i="9"/>
  <c r="L125" i="9"/>
  <c r="L89" i="9"/>
  <c r="K89" i="9"/>
  <c r="L104" i="9"/>
  <c r="K104" i="9"/>
  <c r="L120" i="9"/>
  <c r="L136" i="9" s="1"/>
  <c r="K120" i="9"/>
  <c r="K136" i="9" s="1"/>
  <c r="H108" i="9" l="1" a="1"/>
  <c r="H108" i="9" s="1"/>
  <c r="L90" i="9"/>
  <c r="L122" i="9" s="1"/>
  <c r="H92" i="9" a="1"/>
  <c r="H92" i="9" s="1"/>
  <c r="K90" i="9"/>
  <c r="L106" i="9" s="1"/>
  <c r="H124" i="9" a="1"/>
  <c r="H124" i="9" s="1"/>
  <c r="L105" i="9"/>
  <c r="K105" i="9"/>
  <c r="L121" i="9"/>
  <c r="L137" i="9" s="1"/>
  <c r="K121" i="9"/>
  <c r="K137" i="9" s="1"/>
  <c r="K12" i="8" l="1" a="1"/>
  <c r="K12" i="8" s="1"/>
  <c r="K106" i="9"/>
  <c r="L138" i="9"/>
  <c r="L12" i="8" s="1" a="1"/>
  <c r="L12" i="8" s="1"/>
  <c r="K122" i="9"/>
  <c r="K138" i="9" s="1"/>
  <c r="D30" i="8"/>
  <c r="D26" i="8"/>
  <c r="D25" i="8"/>
  <c r="B25" i="8"/>
  <c r="D23" i="8"/>
  <c r="B19" i="8"/>
  <c r="D17" i="8"/>
  <c r="D15" i="8"/>
  <c r="D14" i="8"/>
  <c r="D13" i="8"/>
  <c r="I12" i="8" a="1"/>
  <c r="I12" i="8" s="1"/>
  <c r="C12" i="8"/>
  <c r="B12" i="8"/>
  <c r="D27" i="8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<sst xmlns="http://schemas.openxmlformats.org/spreadsheetml/2006/main" count="575" uniqueCount="246">
  <si>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</si>
  <si>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</si>
  <si>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</si>
  <si>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</si>
  <si>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</si>
  <si>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</si>
  <si>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</si>
  <si>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Vencimento</t>
  </si>
  <si>
    <t>LTV</t>
  </si>
  <si>
    <t>Cód. CETIP</t>
  </si>
  <si>
    <t>Tipo de Oferta</t>
  </si>
  <si>
    <t>Emissor</t>
  </si>
  <si>
    <t>Tipo de Risco</t>
  </si>
  <si>
    <t>Estratégia</t>
  </si>
  <si>
    <t>% da Garantia no Estado de SP</t>
  </si>
  <si>
    <t>% da Garantia em São Paulo Capital</t>
  </si>
  <si>
    <t>% da Garantia em Localização Prime</t>
  </si>
  <si>
    <t>A+</t>
  </si>
  <si>
    <t>ICVM 476</t>
  </si>
  <si>
    <t>Corporativo</t>
  </si>
  <si>
    <t>AA-</t>
  </si>
  <si>
    <t>IPCA+</t>
  </si>
  <si>
    <t>Residencial</t>
  </si>
  <si>
    <t>CDI+</t>
  </si>
  <si>
    <t>A</t>
  </si>
  <si>
    <t>True Sec</t>
  </si>
  <si>
    <t>A-</t>
  </si>
  <si>
    <t>Pré</t>
  </si>
  <si>
    <t>Cotas Emitidas (Início Mês)</t>
  </si>
  <si>
    <t>Cotas Emitidas (Fim Mês)</t>
  </si>
  <si>
    <t>Cota a Mercado</t>
  </si>
  <si>
    <t>PL / cota</t>
  </si>
  <si>
    <t>DRE Gerencial</t>
  </si>
  <si>
    <t>Início</t>
  </si>
  <si>
    <t>(+) Receitas</t>
  </si>
  <si>
    <t>Juros (CRI)</t>
  </si>
  <si>
    <t>Liquidez</t>
  </si>
  <si>
    <t>(-) Despesas</t>
  </si>
  <si>
    <t>Despesas do Fundo</t>
  </si>
  <si>
    <t>(=) FFO | Funds from Operations</t>
  </si>
  <si>
    <t>Receitas Não-Recorrentes CRIs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</si>
  <si>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</si>
  <si>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</si>
  <si>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</si>
  <si>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</si>
  <si>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</si>
  <si>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</si>
  <si>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t>Abertura da Distribuição</t>
  </si>
  <si>
    <t>Receita CRIs</t>
  </si>
  <si>
    <t>Receitas Não-Recorrentes</t>
  </si>
  <si>
    <t>Total Distribuído</t>
  </si>
  <si>
    <t>Loteamento</t>
  </si>
  <si>
    <t>Opea</t>
  </si>
  <si>
    <t>Virgo</t>
  </si>
  <si>
    <t>Taxa MTM
(% a.a.)</t>
  </si>
  <si>
    <t>Montante MTM (R$)</t>
  </si>
  <si>
    <t>Carteira Pulv.</t>
  </si>
  <si>
    <t>Locação Mult.</t>
  </si>
  <si>
    <t>Core</t>
  </si>
  <si>
    <t>Taxa Investida (% a.a.)</t>
  </si>
  <si>
    <t>Montante
Curva (R$)</t>
  </si>
  <si>
    <t>Participação da
RBR no CRI*</t>
  </si>
  <si>
    <t>Participação do Fundo no CRI</t>
  </si>
  <si>
    <t>Quantidade Emitida</t>
  </si>
  <si>
    <t>Quantidade Integralizada</t>
  </si>
  <si>
    <t>Posição do Fundo</t>
  </si>
  <si>
    <t>Duration
(anos)</t>
  </si>
  <si>
    <t>Financ. Obra</t>
  </si>
  <si>
    <t>CRI Landsol</t>
  </si>
  <si>
    <t>Operação de financiamento e desenvolvimento de obras em lotes residenciais. A emissão é lastreada em uma debênture emitida pela loteadora Cemara, companhia que atua majoritariamente no interior de São Paulo. A operação conta com a alienação fiduciária das matriculas dos lotes, alienação fiduciária de quotas, cessão fiduciária de futuros recebíveis e fundos de reserva e despesas.</t>
  </si>
  <si>
    <t>BBB</t>
  </si>
  <si>
    <t>22H1582777</t>
  </si>
  <si>
    <t>Tabelas de Sensibilidade do Retorno da Carteira de CRI</t>
  </si>
  <si>
    <t>Disclaimer
* As tabelas apresentadas a seguir, são referentes apenas à rentabilidade da carteira de CRI e não consideram a alocação em caixa, FIIs e outros.</t>
  </si>
  <si>
    <t>Taxa equivalente* da carteira
de CRI em IPCA+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</si>
  <si>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</si>
  <si>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</si>
  <si>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</si>
  <si>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</si>
  <si>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</si>
  <si>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</si>
  <si>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</si>
  <si>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</si>
  <si>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</si>
  <si>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</si>
  <si>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</si>
  <si>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</si>
  <si>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</si>
  <si>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¹ Tx. Adm considera taxa de administração e taxa de gestão</t>
  </si>
  <si>
    <t>Ágio / Deságio sobre PL</t>
  </si>
  <si>
    <t>(sobre cota a mercado)</t>
  </si>
  <si>
    <t>Último DY Anualizado</t>
  </si>
  <si>
    <t>Premissas - Input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</si>
  <si>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</si>
  <si>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</si>
  <si>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</si>
  <si>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</si>
  <si>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</si>
  <si>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</si>
  <si>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</si>
  <si>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</si>
  <si>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</si>
  <si>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</si>
  <si>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</si>
  <si>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</si>
  <si>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input manual todo mês (não vigente)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</si>
  <si>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</si>
  <si>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</si>
  <si>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</si>
  <si>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</si>
  <si>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</si>
  <si>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</si>
  <si>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</si>
  <si>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</si>
  <si>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</si>
  <si>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</si>
  <si>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</si>
  <si>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</si>
  <si>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LCI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</si>
  <si>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</si>
  <si>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</si>
  <si>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</si>
  <si>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</si>
  <si>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</si>
  <si>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</si>
  <si>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</si>
  <si>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</si>
  <si>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</si>
  <si>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</si>
  <si>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</si>
  <si>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</si>
  <si>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</si>
  <si>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</si>
  <si>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</si>
  <si>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</si>
  <si>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</si>
  <si>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</si>
  <si>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</si>
  <si>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</si>
  <si>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</si>
  <si>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</si>
  <si>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</si>
  <si>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</si>
  <si>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CRI MOS Jardins e Pinheiros</t>
  </si>
  <si>
    <t>Operação de desenvolvimento imobiliário de dois projeto residenciais localizados em regiões premium  – Bairro do Jardins e Pinheiros, SP. Os empreendimentos serão desenvolvidos pela Incorporadora MOS que é focada em produtos de alto padrão. A operação conta com alienação fiduciária do terreno, alienação fiduciária de quotas da SPE, cessão fiduciária de futuros direitos creditórios, aval dos sócios altamente capitalizados e fundos de reserva.</t>
  </si>
  <si>
    <t>22L1575688</t>
  </si>
  <si>
    <t>ICVM 160</t>
  </si>
  <si>
    <t>CRIs Pré</t>
  </si>
  <si>
    <t>-</t>
  </si>
  <si>
    <t>20I0904073</t>
  </si>
  <si>
    <t>Operação de crédito voltada para antecipação de contratos de locação  lastreada em recebíveis de empreendimento residencial localizado na Vila Madalena - SP.
A operação conta com Alienação Fiduciaria de Imóvel, visitas ao ativo garantia e monitoramento de evolução de obra. A empresa realiza o desenvolvimento imobiliário, aquisição e gestão de imóveis para locação residencial.</t>
  </si>
  <si>
    <t>CRI Mora</t>
  </si>
  <si>
    <t>18I0295172</t>
  </si>
  <si>
    <t>Operação lastreada em Carteira Pulv. de contratos de compra e venda de lotes residenciais. A operação utiliza-se dos recebíveis da Carteira Pulv. para pagamento de principal de juros, além de alienação fiduciária dos ativos, coobrigação da cedente, subordinação de 30%, aval corporativo da holding operacional do grupo e fiança dos sócios.</t>
  </si>
  <si>
    <t>CRI Longitude</t>
  </si>
  <si>
    <t>22D1289606</t>
  </si>
  <si>
    <t>Operação de crédito para aquisição e retrofit de um projeto residencial performado localizado no bairro de Cerqueira César em São Paulo. A devedora, Yuca, é pioneira no segmento de coliving.  A operação conta com alienação fiduciária do terreno, alienação fiduciária de quotas da SPE, cessão fiduciária de futuros direitos creditórios e fundos de reserva e despesas.</t>
  </si>
  <si>
    <t>CRI Yuca Augusta II</t>
  </si>
  <si>
    <t>22D1289605</t>
  </si>
  <si>
    <t>CRI Yuca Augusta I</t>
  </si>
  <si>
    <t>RPRI11 - RBR Premium Recebíveis Imobiliários</t>
  </si>
  <si>
    <t>Receita FIIs + Liquidez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</si>
  <si>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sobre cota PL (Mensal)</t>
    </r>
  </si>
  <si>
    <r>
      <rPr>
        <i/>
        <sz val="10"/>
        <color rgb="FF585856"/>
        <rFont val="Open Sans"/>
        <family val="2"/>
      </rPr>
      <t>Dividend Yield sobre cota PL</t>
    </r>
    <r>
      <rPr>
        <sz val="10"/>
        <color rgb="FF585856"/>
        <rFont val="Open Sans"/>
        <family val="2"/>
      </rPr>
      <t xml:space="preserve"> (Anualizado)</t>
    </r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</si>
  <si>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sobre cota a mercado (Mensal)</t>
    </r>
  </si>
  <si>
    <r>
      <rPr>
        <i/>
        <sz val="10"/>
        <color rgb="FF585856"/>
        <rFont val="Open Sans"/>
        <family val="2"/>
      </rPr>
      <t>Dividend Yield sobre cota a mercado</t>
    </r>
    <r>
      <rPr>
        <sz val="10"/>
        <color rgb="FF585856"/>
        <rFont val="Open Sans"/>
        <family val="2"/>
      </rPr>
      <t xml:space="preserve"> (Anualizado)</t>
    </r>
  </si>
  <si>
    <t>Resultado RPRI11 (R$)</t>
  </si>
  <si>
    <t>Planilha de Fundamentos | Resultado</t>
  </si>
  <si>
    <t>CRI Paes &amp; Gregori Itaim</t>
  </si>
  <si>
    <t>Operação de aquisição de terreno e desenvolvimento imobiliário de um projeto residencial localizado no Itaim Bibi, bairro nobre de São Paulo – SP. O empreendimento será desenvolvido pela Incorporadora Paes &amp; Gregori, com perfil de produto alto padrão. A operação conta com alienação fiduciária do terreno, alienação fiduciária de quotas da SPE, cessão fiduciária de futuros direitos creditórios, aval e fundos de reserva, de liquidez e despesas.</t>
  </si>
  <si>
    <t>AA</t>
  </si>
  <si>
    <t>23B0430541</t>
  </si>
  <si>
    <t>CVM 160</t>
  </si>
  <si>
    <t>Operação de cessão de fluxo de recebíveis da carteira da MRV, são créditos em que a própria MRV financia a aquisição dos imóveis pelos mutuários, o que permite a utilização formal dos apartamentos como garantia direta do CRI. Os empreendimentos possuem alta diversificação regional, com carteira de recebíveis bastante pulverizada (os 10 maiores créditos representam menos de 3% da carteira total). O CRI conta com robusta estrutura de garantias, incluindo a alienação fiduciária dos imóveis objetos das aquisições , fundo de reserva e cobertura adicional de saldo.</t>
  </si>
  <si>
    <t>23F1508169</t>
  </si>
  <si>
    <t>Input manual</t>
  </si>
  <si>
    <t>Preço Input</t>
  </si>
  <si>
    <t>Metodologia
(i) como projeção do CDI em 2023, foi utilizado o FRA na duration mais próxima de um ano, calculado pelo preço de fechamento do Derivativo de Juros Futuros do DI no último dia útil do mês; 
(ii) como projeção do IPCA em 2023, a inflação implícita divulgada pela ANBIMA no último dia útil do mês.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</si>
  <si>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</si>
  <si>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CRI Órigo</t>
  </si>
  <si>
    <t xml:space="preserve">Operação efetuada com auxílio e expertise do time de Infra da RBR. O CRI tem como objetivo o financiamento para construção de 7 Usinas Fotovoltaicas (“UFVs”) no modelo de Geração Distribuída Compartilhada. O empreendimento está sendo feito pela Órigo Energia, uma das maiores empresas e com mais experiência no setor de GD. A operação conta com cessão fiduciária de recebíveis dos contratos de locação, alienação fiduciária das cotas das SPE's, alienação fiduciária dos direitos de superfície e apólice de seguros. </t>
  </si>
  <si>
    <t>Outros</t>
  </si>
  <si>
    <t>23H1317741</t>
  </si>
  <si>
    <t>Vertices</t>
  </si>
  <si>
    <t>Operação de cessão de fluxo de recebíveis de carteira da MRV, são créditos pulverizados em diversas regiões do Brasil. O CRI conta com robusta estrutura de garantias, incluindo os imóveis, fundo de reserva e cobertura adicional de saldo</t>
  </si>
  <si>
    <t>23I1230828</t>
  </si>
  <si>
    <t>23I1230915</t>
  </si>
  <si>
    <t>CRI FGR</t>
  </si>
  <si>
    <t>Operação com a incorporadora FGR para financiamento de um projeto residencial horizontal localizado em Goiânia. A FGR é tradicional no mercado imobiliário do centro-oeste com mais de 30 anos de atuação. A operação conta com Cessão Fiduciaria dos Recebíveis do projeto, AF dos lotes, AF de Quotas da SPE dententora do projeto, aval dos sócios e da holding e Fundo de Feserva de 3 PMTs.</t>
  </si>
  <si>
    <t>23L1279637</t>
  </si>
  <si>
    <t>Operação de carteira pulverizada lastreada em contratos nas modalidades de Home Equity e Financiamento Imobiliário originados pela Crediblue a partir da estratégia de Warehousing.  A Crediblue atua também como servicer na operação. Possui como garantias a Alienação Fiduciária dos imóveis envolvidos e Fundo de Reserva.</t>
  </si>
  <si>
    <t>Vert</t>
  </si>
  <si>
    <t>CRIs Carrego</t>
  </si>
  <si>
    <t>CRI Tarjab Altino IPCA</t>
  </si>
  <si>
    <t>24D3057203</t>
  </si>
  <si>
    <t>CRI Tarjab Altino CDI</t>
  </si>
  <si>
    <t>24D3057166</t>
  </si>
  <si>
    <t>Operação de crédito com a Incorporadora Tarjab de financiamento à aquisição de terreno e obra para um empreendimento localizado na Vila Mariana. A operação conta com Alienação Fiduciária do Imóvel alvo, Alienação Fiduciária de Cotas da SPE detentora do projeto, Aval da Holding e dos sócios, bem como Fundo de Reserva de 2 PMTs.</t>
  </si>
  <si>
    <t>CRI Carteira MRV IV (Série III)</t>
  </si>
  <si>
    <t>CRI Pernambuco Aurora</t>
  </si>
  <si>
    <t>O CRI financia a obra de um empreendimento localizado em Recife, executado pela Incorporadora Pernambuco, empresa tradicional com mais de 50 anos de experiência no mercado imobiliário da região. A operação conta com Fiança dos sócios PJ e PF, Alienação Fiduciária do Imóvel alvo, Alienação Fiduciária das quotas da SPE detentora do projeto, Cessão Fiduciária dos recebíveis, Fundo de Reserva, Fundo de Obras e Fundo de Despesas.</t>
  </si>
  <si>
    <t>24D3062404</t>
  </si>
  <si>
    <t>Habitasec</t>
  </si>
  <si>
    <t>CRI Viverde Meza</t>
  </si>
  <si>
    <t>24E1453917</t>
  </si>
  <si>
    <t>Operação de carteira pulverizada de créditos Home Equity originados pela Creditas. Conta com alienação fiduciária dos imóveis, sobrecolaterização de taxa e seguros MIP e DFI.</t>
  </si>
  <si>
    <t>24E1765607</t>
  </si>
  <si>
    <t>CRI Carteira MRV V (Série III)</t>
  </si>
  <si>
    <t>23L2243789, 23L2242655</t>
  </si>
  <si>
    <t>CRI Creditas II Meza</t>
  </si>
  <si>
    <t>24E1765736</t>
  </si>
  <si>
    <t>CRI Carteira MRV V (Série II)</t>
  </si>
  <si>
    <t>input manual - último dia útil</t>
  </si>
  <si>
    <t>CRI Cury</t>
  </si>
  <si>
    <t>24I1189880</t>
  </si>
  <si>
    <t>N/A</t>
  </si>
  <si>
    <t>CRI Yuny Jardim Paulista Série I</t>
  </si>
  <si>
    <t>Operação exclusiva RBR para financiamento à aquisição de terreno e posterior desenvolvimento de empreendimento residencial de alto padrão no Jardim Paulista pela Yuny Incorporadora. A empresa tem sólida experiência no mercado residencial há 25 anos e mais de 84 empreendimentos entregues. O CRI conta com sólidas garantias atreladas ao projeto incluindo o imóvel, SPE e recebíveis, bem como fiança corporativa da incorporadora e pessoal dos sócios.</t>
  </si>
  <si>
    <t>24F1532998, 24F2830801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</si>
  <si>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</si>
  <si>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CRI CB I Sênior</t>
  </si>
  <si>
    <t>CRI Yuny Jardim Paulista Série II</t>
  </si>
  <si>
    <t>24F1533018</t>
  </si>
  <si>
    <t>Planilha de Fundamentos | Resumo CRIs por CETIP</t>
  </si>
  <si>
    <t>Grupo</t>
  </si>
  <si>
    <t>Taxa Investida
(% a.a.)</t>
  </si>
  <si>
    <t>24F1532998</t>
  </si>
  <si>
    <t>CRI Yuny Jardim Paulista Série III</t>
  </si>
  <si>
    <t>24F2830801</t>
  </si>
  <si>
    <t>Operação exclusiva RBR para antecipação de um fluxo de pagamento parcelado, em função da venda de um terreno localizado na zona oeste de São Paulo, devido pela Cury Construtora e Incorporadora. A Cury é uma das principais players do mercado imobiliário brasileiro, com atuação preponderante na região sudeste, capital aberto desde 2020 e sólida performance financeira nos últimos anos. O CRI conta com Fundo de Reserva e o Contrato Lastro é garantido por fiança da Holding compradora.</t>
  </si>
  <si>
    <t>CRI CB I Meza</t>
  </si>
  <si>
    <t>23L2243789</t>
  </si>
  <si>
    <t>23L2242655</t>
  </si>
  <si>
    <t>CRI SKR</t>
  </si>
  <si>
    <t>24J2479385</t>
  </si>
  <si>
    <t>Operação de crédito para financiamento a aquisição de terreno e posterior desenvolvimento de empreendimento residencial de médio-alto padrão no coração do bairro de Pinheiros na capital de São Paulo pela SKR. A empresa tem sólida experiência no mercado imobiliário, acumulando +35 anos história, 2,6 mil unidades entregues, 45 prédios construídos que somam 685 mil m² construídos. Além disso, a empresa é conhecida pela atenção à arquitetura e pela sua especialidade na praça de Pinheiros. A operação conta com alienação fiduciária de quotas da SPE, alienação fiduciária do imóvel alvo e cessão de recebíveis na proporção do investimento, bem como aval da holding.</t>
  </si>
  <si>
    <t>Tático</t>
  </si>
  <si>
    <t xml:space="preserve"> (28/02)</t>
  </si>
  <si>
    <t>CRI Intecom</t>
  </si>
  <si>
    <t>Operação de financiamento a obra de R$ 43 milhões para um ativo logístico em João Pessoa. A empresa é a Intecom, do setor de logística e pertencente a um dos sócios do grupo Martins. O ativo será utilizado para a estratégia de logística do grupo no Nordeste, com contratos firmados com a Colgate e a Santa Helena. A operação conta como lastro uma nota comercial emitida pela devedora. Além disso, há alienação fiduciária do ativo de João Pessoa, avaliado em R$ 57 milhões, e alienação fiduciária de garantia extra (ativo da Proplogis 43), avaliado em R$ 40 milhões. Com isso, a operação tem um LTC máximo de 40% e um LTV máximo de 46%. Além disso, o CRI conta com a cessão fiduciária dos recebíveis de ambos os ativos e o aval do sócio da Intecom.</t>
  </si>
  <si>
    <t>25A2889666</t>
  </si>
  <si>
    <t>CRI CB II</t>
  </si>
  <si>
    <t>Operação de carteira pulverizada lastreada em contratos nas modalidades de Home Equity originados pela CB. Operação conta com sobrecolaterização de taxa, fundo de reserva e alienação fiduciária.</t>
  </si>
  <si>
    <t>24E1296964</t>
  </si>
  <si>
    <t>CRI Creditas II Senior</t>
  </si>
  <si>
    <t>CRI Creditas II Carteira I Senior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</si>
</sst>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_(* #,##0.00_);_(* \(#,##0.00\);_(* &quot;-&quot;_);_(@_)"/>
    <numFmt numFmtId="168" formatCode="0.0"/>
    <numFmt numFmtId="169" formatCode="[$-416]mmm\-yy;@"/>
    <numFmt numFmtId="170" formatCode="_(* #,##0_);_(* \(#,##0\);_(* &quot;-&quot;??_);_(@_)"/>
    <numFmt numFmtId="171" formatCode="_(* #,##0.00_);_(* \(#,##0.0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9"/>
      <name val="Open Sans"/>
      <family val="2"/>
    </font>
    <font>
      <sz val="11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name val="Calibri"/>
      <family val="2"/>
      <scheme val="minor"/>
    </font>
    <font>
      <i/>
      <sz val="10"/>
      <color rgb="FF585856"/>
      <name val="Open Sans"/>
      <family val="2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rgb="FF1A2C4C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indexed="65"/>
        <bgColor indexed="64"/>
      </patternFill>
    </fill>
    <fill>
      <patternFill patternType="solid">
        <fgColor rgb="FF1A2C4C"/>
        <bgColor theme="1"/>
      </patternFill>
    </fill>
    <fill>
      <patternFill patternType="solid">
        <fgColor rgb="FF58585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1CD"/>
        <bgColor rgb="FF000000"/>
      </patternFill>
    </fill>
    <fill>
      <patternFill patternType="solid">
        <fgColor rgb="FFFFF1CD"/>
        <bgColor indexed="64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1" fontId="1" fillId="0" borderId="0" applyFont="0" applyFill="0" applyBorder="0" applyAlignment="0" applyProtection="0"/>
  </cellStyleXfs>
  <cellXfs count="189">
    <xf numFmtId="0" fontId="0" fillId="0" borderId="0" xfId="0"/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6" fontId="2" fillId="0" borderId="5" xfId="2" applyNumberFormat="1" applyFont="1" applyFill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4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6" fillId="4" borderId="0" xfId="0" applyFont="1" applyFill="1" applyAlignment="1">
      <alignment horizontal="left" vertical="center" indent="1"/>
    </xf>
    <xf numFmtId="0" fontId="9" fillId="0" borderId="0" xfId="0" applyFont="1" applyAlignment="1">
      <alignment horizontal="left" vertical="center" indent="3"/>
    </xf>
    <xf numFmtId="0" fontId="6" fillId="2" borderId="0" xfId="0" applyFont="1" applyFill="1" applyAlignment="1">
      <alignment horizontal="left" vertical="center" indent="2"/>
    </xf>
    <xf numFmtId="0" fontId="9" fillId="6" borderId="0" xfId="0" applyFont="1" applyFill="1" applyAlignment="1">
      <alignment horizontal="left" vertical="center" indent="2"/>
    </xf>
    <xf numFmtId="0" fontId="9" fillId="0" borderId="0" xfId="0" applyFont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8" fontId="2" fillId="0" borderId="5" xfId="2" applyNumberFormat="1" applyFont="1" applyFill="1" applyBorder="1" applyAlignment="1">
      <alignment horizontal="center" vertical="center"/>
    </xf>
    <xf numFmtId="169" fontId="2" fillId="0" borderId="5" xfId="0" applyNumberFormat="1" applyFont="1" applyBorder="1" applyAlignment="1">
      <alignment horizontal="center" vertical="center"/>
    </xf>
    <xf numFmtId="0" fontId="0" fillId="8" borderId="0" xfId="0" applyFill="1"/>
    <xf numFmtId="0" fontId="11" fillId="0" borderId="0" xfId="0" applyFont="1" applyAlignment="1">
      <alignment horizontal="left" wrapText="1"/>
    </xf>
    <xf numFmtId="0" fontId="13" fillId="7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3" fillId="7" borderId="0" xfId="0" applyFont="1" applyFill="1" applyAlignment="1">
      <alignment horizontal="center" vertical="center" wrapText="1"/>
    </xf>
    <xf numFmtId="0" fontId="15" fillId="8" borderId="0" xfId="0" applyFont="1" applyFill="1" applyAlignment="1">
      <alignment vertical="center" wrapText="1"/>
    </xf>
    <xf numFmtId="0" fontId="16" fillId="0" borderId="0" xfId="0" applyFont="1" applyAlignment="1">
      <alignment vertical="center"/>
    </xf>
    <xf numFmtId="2" fontId="16" fillId="0" borderId="0" xfId="1" applyNumberFormat="1" applyFont="1" applyFill="1" applyBorder="1" applyAlignment="1">
      <alignment horizontal="center" vertical="center"/>
    </xf>
    <xf numFmtId="2" fontId="16" fillId="10" borderId="0" xfId="1" applyNumberFormat="1" applyFont="1" applyFill="1" applyBorder="1" applyAlignment="1">
      <alignment horizontal="center" vertical="center"/>
    </xf>
    <xf numFmtId="2" fontId="16" fillId="0" borderId="6" xfId="1" applyNumberFormat="1" applyFont="1" applyFill="1" applyBorder="1" applyAlignment="1">
      <alignment horizontal="center" vertical="center"/>
    </xf>
    <xf numFmtId="10" fontId="16" fillId="0" borderId="0" xfId="2" applyNumberFormat="1" applyFont="1" applyFill="1" applyBorder="1" applyAlignment="1">
      <alignment horizontal="center" vertical="center"/>
    </xf>
    <xf numFmtId="10" fontId="16" fillId="10" borderId="0" xfId="2" applyNumberFormat="1" applyFont="1" applyFill="1" applyBorder="1" applyAlignment="1">
      <alignment horizontal="center" vertical="center"/>
    </xf>
    <xf numFmtId="10" fontId="16" fillId="0" borderId="6" xfId="2" applyNumberFormat="1" applyFont="1" applyFill="1" applyBorder="1" applyAlignment="1">
      <alignment horizontal="center" vertical="center"/>
    </xf>
    <xf numFmtId="0" fontId="15" fillId="8" borderId="0" xfId="0" applyFont="1" applyFill="1" applyAlignment="1">
      <alignment vertical="center"/>
    </xf>
    <xf numFmtId="0" fontId="15" fillId="9" borderId="0" xfId="0" applyFont="1" applyFill="1" applyAlignment="1">
      <alignment vertical="center"/>
    </xf>
    <xf numFmtId="10" fontId="15" fillId="9" borderId="0" xfId="0" applyNumberFormat="1" applyFont="1" applyFill="1" applyAlignment="1">
      <alignment horizontal="center" vertical="center"/>
    </xf>
    <xf numFmtId="0" fontId="16" fillId="0" borderId="6" xfId="0" applyFont="1" applyBorder="1" applyAlignment="1">
      <alignment vertical="center"/>
    </xf>
    <xf numFmtId="0" fontId="15" fillId="11" borderId="0" xfId="0" applyFont="1" applyFill="1" applyAlignment="1">
      <alignment horizontal="left" vertical="center"/>
    </xf>
    <xf numFmtId="0" fontId="15" fillId="11" borderId="0" xfId="0" applyFont="1" applyFill="1" applyAlignment="1">
      <alignment horizontal="center" vertical="center"/>
    </xf>
    <xf numFmtId="10" fontId="15" fillId="9" borderId="0" xfId="2" applyNumberFormat="1" applyFont="1" applyFill="1" applyAlignment="1">
      <alignment horizontal="center" vertical="center"/>
    </xf>
    <xf numFmtId="0" fontId="15" fillId="11" borderId="0" xfId="0" applyFont="1" applyFill="1" applyAlignment="1">
      <alignment vertical="center"/>
    </xf>
    <xf numFmtId="2" fontId="15" fillId="9" borderId="0" xfId="0" applyNumberFormat="1" applyFont="1" applyFill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 readingOrder="1"/>
    </xf>
    <xf numFmtId="10" fontId="18" fillId="9" borderId="0" xfId="2" applyNumberFormat="1" applyFont="1" applyFill="1" applyAlignment="1">
      <alignment horizontal="center" vertical="center"/>
    </xf>
    <xf numFmtId="0" fontId="0" fillId="0" borderId="0" xfId="0" applyAlignment="1">
      <alignment wrapText="1"/>
    </xf>
    <xf numFmtId="0" fontId="19" fillId="11" borderId="0" xfId="0" applyFont="1" applyFill="1" applyAlignment="1">
      <alignment horizontal="left" vertical="center"/>
    </xf>
    <xf numFmtId="0" fontId="22" fillId="0" borderId="0" xfId="0" applyFont="1"/>
    <xf numFmtId="10" fontId="0" fillId="0" borderId="0" xfId="2" applyNumberFormat="1" applyFont="1" applyBorder="1"/>
    <xf numFmtId="10" fontId="0" fillId="8" borderId="0" xfId="2" applyNumberFormat="1" applyFont="1" applyFill="1"/>
    <xf numFmtId="10" fontId="0" fillId="0" borderId="0" xfId="2" applyNumberFormat="1" applyFont="1"/>
    <xf numFmtId="0" fontId="23" fillId="0" borderId="0" xfId="0" applyFont="1" applyAlignment="1">
      <alignment wrapText="1"/>
    </xf>
    <xf numFmtId="43" fontId="0" fillId="0" borderId="0" xfId="1" applyFont="1"/>
    <xf numFmtId="10" fontId="23" fillId="0" borderId="0" xfId="2" applyNumberFormat="1" applyFont="1"/>
    <xf numFmtId="2" fontId="0" fillId="0" borderId="0" xfId="1" applyNumberFormat="1" applyFont="1" applyAlignment="1">
      <alignment horizontal="center"/>
    </xf>
    <xf numFmtId="2" fontId="0" fillId="14" borderId="0" xfId="1" applyNumberFormat="1" applyFont="1" applyFill="1" applyAlignment="1">
      <alignment horizontal="center"/>
    </xf>
    <xf numFmtId="2" fontId="0" fillId="0" borderId="0" xfId="0" applyNumberFormat="1"/>
    <xf numFmtId="2" fontId="0" fillId="14" borderId="0" xfId="0" applyNumberFormat="1" applyFill="1"/>
    <xf numFmtId="10" fontId="0" fillId="0" borderId="0" xfId="0" applyNumberFormat="1"/>
    <xf numFmtId="0" fontId="2" fillId="0" borderId="0" xfId="0" applyFont="1" applyAlignment="1">
      <alignment horizontal="left" vertical="center" indent="1"/>
    </xf>
    <xf numFmtId="0" fontId="7" fillId="3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7" fillId="8" borderId="0" xfId="0" applyFont="1" applyFill="1" applyAlignment="1">
      <alignment horizontal="left" vertical="center" indent="3"/>
    </xf>
    <xf numFmtId="0" fontId="7" fillId="0" borderId="0" xfId="0" applyFont="1" applyAlignment="1">
      <alignment horizontal="left" vertical="center" indent="2"/>
    </xf>
    <xf numFmtId="0" fontId="7" fillId="8" borderId="0" xfId="0" applyFont="1" applyFill="1" applyAlignment="1">
      <alignment horizontal="left" vertical="center" indent="2"/>
    </xf>
    <xf numFmtId="2" fontId="16" fillId="8" borderId="0" xfId="1" applyNumberFormat="1" applyFont="1" applyFill="1" applyBorder="1" applyAlignment="1">
      <alignment horizontal="center" vertical="center"/>
    </xf>
    <xf numFmtId="10" fontId="16" fillId="8" borderId="0" xfId="2" applyNumberFormat="1" applyFont="1" applyFill="1" applyBorder="1" applyAlignment="1">
      <alignment horizontal="center" vertical="center"/>
    </xf>
    <xf numFmtId="0" fontId="17" fillId="0" borderId="6" xfId="0" applyFont="1" applyBorder="1" applyAlignment="1">
      <alignment horizontal="left" vertical="center" readingOrder="1"/>
    </xf>
    <xf numFmtId="10" fontId="16" fillId="10" borderId="6" xfId="2" applyNumberFormat="1" applyFont="1" applyFill="1" applyBorder="1" applyAlignment="1">
      <alignment horizontal="center" vertical="center"/>
    </xf>
    <xf numFmtId="0" fontId="13" fillId="15" borderId="2" xfId="0" applyFont="1" applyFill="1" applyBorder="1" applyAlignment="1">
      <alignment horizontal="left" vertical="center" indent="1"/>
    </xf>
    <xf numFmtId="0" fontId="13" fillId="15" borderId="3" xfId="0" applyFont="1" applyFill="1" applyBorder="1" applyAlignment="1">
      <alignment horizontal="left" vertical="center" indent="1"/>
    </xf>
    <xf numFmtId="0" fontId="13" fillId="15" borderId="3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 wrapText="1"/>
    </xf>
    <xf numFmtId="0" fontId="25" fillId="16" borderId="7" xfId="0" applyFont="1" applyFill="1" applyBorder="1" applyAlignment="1">
      <alignment vertical="center"/>
    </xf>
    <xf numFmtId="0" fontId="25" fillId="8" borderId="8" xfId="0" applyFont="1" applyFill="1" applyBorder="1" applyAlignment="1">
      <alignment vertical="center"/>
    </xf>
    <xf numFmtId="0" fontId="25" fillId="0" borderId="10" xfId="0" applyFont="1" applyBorder="1" applyAlignment="1">
      <alignment horizontal="center"/>
    </xf>
    <xf numFmtId="0" fontId="25" fillId="8" borderId="9" xfId="0" applyFont="1" applyFill="1" applyBorder="1"/>
    <xf numFmtId="10" fontId="0" fillId="13" borderId="0" xfId="2" applyNumberFormat="1" applyFont="1" applyFill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26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8" borderId="0" xfId="2" applyNumberFormat="1" applyFont="1" applyFill="1" applyBorder="1"/>
    <xf numFmtId="10" fontId="0" fillId="19" borderId="0" xfId="2" applyNumberFormat="1" applyFont="1" applyFill="1" applyBorder="1"/>
    <xf numFmtId="10" fontId="0" fillId="17" borderId="0" xfId="0" applyNumberFormat="1" applyFill="1"/>
    <xf numFmtId="0" fontId="0" fillId="5" borderId="9" xfId="0" applyFill="1" applyBorder="1"/>
    <xf numFmtId="0" fontId="0" fillId="5" borderId="0" xfId="0" applyFill="1"/>
    <xf numFmtId="0" fontId="0" fillId="5" borderId="10" xfId="0" applyFill="1" applyBorder="1"/>
    <xf numFmtId="4" fontId="0" fillId="9" borderId="0" xfId="0" applyNumberFormat="1" applyFill="1"/>
    <xf numFmtId="43" fontId="0" fillId="9" borderId="0" xfId="1" applyFont="1" applyFill="1" applyBorder="1"/>
    <xf numFmtId="10" fontId="0" fillId="5" borderId="0" xfId="2" applyNumberFormat="1" applyFont="1" applyFill="1" applyBorder="1"/>
    <xf numFmtId="2" fontId="0" fillId="9" borderId="0" xfId="0" applyNumberFormat="1" applyFill="1"/>
    <xf numFmtId="1" fontId="0" fillId="5" borderId="0" xfId="1" applyNumberFormat="1" applyFont="1" applyFill="1" applyBorder="1"/>
    <xf numFmtId="0" fontId="0" fillId="9" borderId="0" xfId="0" applyFill="1"/>
    <xf numFmtId="0" fontId="0" fillId="13" borderId="0" xfId="0" applyFill="1"/>
    <xf numFmtId="0" fontId="0" fillId="5" borderId="9" xfId="0" applyFill="1" applyBorder="1" applyAlignment="1">
      <alignment wrapText="1"/>
    </xf>
    <xf numFmtId="10" fontId="0" fillId="9" borderId="0" xfId="2" applyNumberFormat="1" applyFont="1" applyFill="1" applyBorder="1"/>
    <xf numFmtId="0" fontId="0" fillId="5" borderId="11" xfId="0" applyFill="1" applyBorder="1"/>
    <xf numFmtId="10" fontId="0" fillId="9" borderId="12" xfId="2" applyNumberFormat="1" applyFont="1" applyFill="1" applyBorder="1"/>
    <xf numFmtId="0" fontId="0" fillId="5" borderId="12" xfId="0" applyFill="1" applyBorder="1"/>
    <xf numFmtId="0" fontId="0" fillId="5" borderId="13" xfId="0" applyFill="1" applyBorder="1"/>
    <xf numFmtId="17" fontId="6" fillId="4" borderId="0" xfId="0" applyNumberFormat="1" applyFont="1" applyFill="1" applyAlignment="1">
      <alignment horizontal="right" vertical="center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 vertical="center"/>
    </xf>
    <xf numFmtId="165" fontId="5" fillId="0" borderId="0" xfId="0" applyNumberFormat="1" applyFont="1" applyAlignment="1">
      <alignment horizontal="right" vertical="center"/>
    </xf>
    <xf numFmtId="165" fontId="8" fillId="0" borderId="0" xfId="1" applyNumberFormat="1" applyFont="1" applyFill="1" applyAlignment="1">
      <alignment horizontal="right" vertical="center"/>
    </xf>
    <xf numFmtId="165" fontId="0" fillId="0" borderId="0" xfId="0" applyNumberFormat="1" applyAlignment="1">
      <alignment horizontal="right"/>
    </xf>
    <xf numFmtId="43" fontId="8" fillId="0" borderId="0" xfId="1" applyFont="1" applyAlignment="1">
      <alignment horizontal="right" vertical="center"/>
    </xf>
    <xf numFmtId="43" fontId="9" fillId="0" borderId="0" xfId="1" applyFont="1" applyAlignment="1">
      <alignment horizontal="right" vertical="center"/>
    </xf>
    <xf numFmtId="0" fontId="5" fillId="5" borderId="0" xfId="0" applyFont="1" applyFill="1" applyAlignment="1">
      <alignment horizontal="right" vertical="center"/>
    </xf>
    <xf numFmtId="0" fontId="10" fillId="0" borderId="0" xfId="0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17" fontId="6" fillId="5" borderId="0" xfId="0" applyNumberFormat="1" applyFont="1" applyFill="1" applyAlignment="1">
      <alignment horizontal="right" vertical="center"/>
    </xf>
    <xf numFmtId="164" fontId="7" fillId="8" borderId="0" xfId="0" applyNumberFormat="1" applyFont="1" applyFill="1" applyAlignment="1">
      <alignment horizontal="right" vertical="center"/>
    </xf>
    <xf numFmtId="164" fontId="7" fillId="0" borderId="0" xfId="0" applyNumberFormat="1" applyFont="1" applyAlignment="1">
      <alignment horizontal="right" vertical="center"/>
    </xf>
    <xf numFmtId="164" fontId="9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2" fontId="6" fillId="2" borderId="0" xfId="0" applyNumberFormat="1" applyFont="1" applyFill="1" applyAlignment="1">
      <alignment horizontal="right" vertical="center"/>
    </xf>
    <xf numFmtId="2" fontId="5" fillId="5" borderId="0" xfId="0" applyNumberFormat="1" applyFont="1" applyFill="1" applyAlignment="1">
      <alignment horizontal="right" vertical="center"/>
    </xf>
    <xf numFmtId="10" fontId="9" fillId="6" borderId="0" xfId="2" applyNumberFormat="1" applyFont="1" applyFill="1" applyAlignment="1">
      <alignment horizontal="right" vertical="center"/>
    </xf>
    <xf numFmtId="10" fontId="5" fillId="5" borderId="0" xfId="0" applyNumberFormat="1" applyFont="1" applyFill="1" applyAlignment="1">
      <alignment horizontal="right" vertical="center"/>
    </xf>
    <xf numFmtId="167" fontId="9" fillId="0" borderId="0" xfId="0" applyNumberFormat="1" applyFont="1" applyAlignment="1">
      <alignment horizontal="right" vertical="center"/>
    </xf>
    <xf numFmtId="167" fontId="9" fillId="0" borderId="0" xfId="0" applyNumberFormat="1" applyFont="1" applyAlignment="1">
      <alignment horizontal="right"/>
    </xf>
    <xf numFmtId="167" fontId="7" fillId="3" borderId="0" xfId="0" applyNumberFormat="1" applyFont="1" applyFill="1" applyAlignment="1">
      <alignment horizontal="right" vertical="center"/>
    </xf>
    <xf numFmtId="0" fontId="2" fillId="20" borderId="0" xfId="0" applyFont="1" applyFill="1" applyAlignment="1">
      <alignment vertical="center"/>
    </xf>
    <xf numFmtId="0" fontId="2" fillId="20" borderId="0" xfId="0" applyFont="1" applyFill="1" applyAlignment="1">
      <alignment horizontal="center" vertical="center"/>
    </xf>
    <xf numFmtId="0" fontId="2" fillId="21" borderId="0" xfId="0" applyFont="1" applyFill="1" applyAlignment="1">
      <alignment vertical="center"/>
    </xf>
    <xf numFmtId="0" fontId="3" fillId="20" borderId="1" xfId="0" applyFont="1" applyFill="1" applyBorder="1" applyAlignment="1">
      <alignment horizontal="left" vertical="center" indent="1"/>
    </xf>
    <xf numFmtId="0" fontId="3" fillId="20" borderId="0" xfId="0" applyFont="1" applyFill="1" applyAlignment="1">
      <alignment horizontal="left" vertical="center" indent="1"/>
    </xf>
    <xf numFmtId="0" fontId="3" fillId="20" borderId="0" xfId="0" applyFont="1" applyFill="1" applyAlignment="1">
      <alignment horizontal="center" vertical="center"/>
    </xf>
    <xf numFmtId="0" fontId="2" fillId="20" borderId="1" xfId="0" applyFont="1" applyFill="1" applyBorder="1" applyAlignment="1">
      <alignment vertical="center"/>
    </xf>
    <xf numFmtId="17" fontId="4" fillId="22" borderId="1" xfId="0" quotePrefix="1" applyNumberFormat="1" applyFont="1" applyFill="1" applyBorder="1" applyAlignment="1">
      <alignment horizontal="left" vertical="center" indent="1"/>
    </xf>
    <xf numFmtId="17" fontId="4" fillId="22" borderId="0" xfId="0" quotePrefix="1" applyNumberFormat="1" applyFont="1" applyFill="1" applyAlignment="1">
      <alignment horizontal="left" vertical="center" indent="1"/>
    </xf>
    <xf numFmtId="17" fontId="4" fillId="22" borderId="0" xfId="0" quotePrefix="1" applyNumberFormat="1" applyFont="1" applyFill="1" applyAlignment="1">
      <alignment horizontal="center" vertical="center"/>
    </xf>
    <xf numFmtId="0" fontId="6" fillId="20" borderId="0" xfId="0" applyFont="1" applyFill="1" applyAlignment="1">
      <alignment vertical="center"/>
    </xf>
    <xf numFmtId="0" fontId="2" fillId="21" borderId="0" xfId="0" applyFont="1" applyFill="1" applyAlignment="1">
      <alignment horizontal="left" vertical="center" indent="1"/>
    </xf>
    <xf numFmtId="0" fontId="3" fillId="24" borderId="0" xfId="0" applyFont="1" applyFill="1"/>
    <xf numFmtId="0" fontId="0" fillId="24" borderId="0" xfId="0" applyFill="1"/>
    <xf numFmtId="0" fontId="0" fillId="24" borderId="0" xfId="0" applyFill="1" applyAlignment="1">
      <alignment horizontal="center"/>
    </xf>
    <xf numFmtId="10" fontId="0" fillId="24" borderId="0" xfId="2" applyNumberFormat="1" applyFont="1" applyFill="1" applyAlignment="1">
      <alignment horizontal="center"/>
    </xf>
    <xf numFmtId="4" fontId="0" fillId="24" borderId="0" xfId="3" applyNumberFormat="1" applyFont="1" applyFill="1" applyAlignment="1">
      <alignment horizontal="center"/>
    </xf>
    <xf numFmtId="3" fontId="0" fillId="24" borderId="0" xfId="3" applyNumberFormat="1" applyFont="1" applyFill="1" applyAlignment="1">
      <alignment horizontal="center"/>
    </xf>
    <xf numFmtId="2" fontId="0" fillId="24" borderId="0" xfId="3" applyNumberFormat="1" applyFont="1" applyFill="1" applyAlignment="1">
      <alignment horizontal="center"/>
    </xf>
    <xf numFmtId="14" fontId="0" fillId="24" borderId="0" xfId="0" applyNumberFormat="1" applyFill="1" applyAlignment="1">
      <alignment horizontal="center"/>
    </xf>
    <xf numFmtId="17" fontId="3" fillId="24" borderId="0" xfId="0" applyNumberFormat="1" applyFont="1" applyFill="1" applyAlignment="1">
      <alignment horizontal="left"/>
    </xf>
    <xf numFmtId="0" fontId="3" fillId="25" borderId="0" xfId="0" applyFont="1" applyFill="1" applyAlignment="1">
      <alignment horizontal="center" vertical="center" wrapText="1"/>
    </xf>
    <xf numFmtId="10" fontId="3" fillId="25" borderId="0" xfId="2" applyNumberFormat="1" applyFont="1" applyFill="1" applyAlignment="1">
      <alignment horizontal="center" vertical="center" wrapText="1"/>
    </xf>
    <xf numFmtId="3" fontId="3" fillId="25" borderId="0" xfId="3" applyNumberFormat="1" applyFont="1" applyFill="1" applyAlignment="1">
      <alignment horizontal="center" vertical="center" wrapText="1"/>
    </xf>
    <xf numFmtId="0" fontId="27" fillId="4" borderId="0" xfId="0" applyFont="1" applyFill="1" applyAlignment="1">
      <alignment vertical="center"/>
    </xf>
    <xf numFmtId="0" fontId="27" fillId="4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left" vertical="center" wrapText="1" indent="1"/>
    </xf>
    <xf numFmtId="0" fontId="13" fillId="23" borderId="0" xfId="0" applyFont="1" applyFill="1" applyAlignment="1">
      <alignment horizontal="center" vertical="center" wrapText="1"/>
    </xf>
    <xf numFmtId="0" fontId="27" fillId="26" borderId="0" xfId="0" applyFont="1" applyFill="1" applyAlignment="1">
      <alignment horizontal="left" vertical="center" indent="1"/>
    </xf>
    <xf numFmtId="0" fontId="27" fillId="26" borderId="0" xfId="0" applyFont="1" applyFill="1" applyAlignment="1">
      <alignment horizontal="center" vertical="center"/>
    </xf>
    <xf numFmtId="10" fontId="27" fillId="26" borderId="0" xfId="0" applyNumberFormat="1" applyFont="1" applyFill="1" applyAlignment="1">
      <alignment horizontal="center" vertical="center"/>
    </xf>
    <xf numFmtId="4" fontId="27" fillId="26" borderId="0" xfId="0" applyNumberFormat="1" applyFont="1" applyFill="1" applyAlignment="1">
      <alignment horizontal="center" vertical="center"/>
    </xf>
    <xf numFmtId="3" fontId="27" fillId="26" borderId="0" xfId="0" applyNumberFormat="1" applyFont="1" applyFill="1" applyAlignment="1">
      <alignment horizontal="center" vertical="center"/>
    </xf>
    <xf numFmtId="14" fontId="27" fillId="26" borderId="0" xfId="0" applyNumberFormat="1" applyFont="1" applyFill="1" applyAlignment="1">
      <alignment horizontal="center" vertical="center"/>
    </xf>
    <xf numFmtId="0" fontId="27" fillId="27" borderId="0" xfId="0" applyFont="1" applyFill="1" applyAlignment="1">
      <alignment horizontal="left" vertical="center" indent="1"/>
    </xf>
    <xf numFmtId="0" fontId="27" fillId="27" borderId="0" xfId="0" applyFont="1" applyFill="1" applyAlignment="1">
      <alignment horizontal="center" vertical="center"/>
    </xf>
    <xf numFmtId="10" fontId="27" fillId="27" borderId="0" xfId="0" applyNumberFormat="1" applyFont="1" applyFill="1" applyAlignment="1">
      <alignment horizontal="center" vertical="center"/>
    </xf>
    <xf numFmtId="4" fontId="27" fillId="27" borderId="0" xfId="0" applyNumberFormat="1" applyFont="1" applyFill="1" applyAlignment="1">
      <alignment horizontal="center" vertical="center"/>
    </xf>
    <xf numFmtId="3" fontId="27" fillId="27" borderId="0" xfId="0" applyNumberFormat="1" applyFont="1" applyFill="1" applyAlignment="1">
      <alignment horizontal="center" vertical="center"/>
    </xf>
    <xf numFmtId="14" fontId="27" fillId="27" borderId="0" xfId="0" applyNumberFormat="1" applyFont="1" applyFill="1" applyAlignment="1">
      <alignment horizontal="center" vertical="center"/>
    </xf>
    <xf numFmtId="11" fontId="27" fillId="27" borderId="0" xfId="0" applyNumberFormat="1" applyFont="1" applyFill="1" applyAlignment="1">
      <alignment horizontal="left" vertical="center" indent="1"/>
    </xf>
    <xf numFmtId="0" fontId="2" fillId="20" borderId="0" xfId="0" applyFont="1" applyFill="1" applyAlignment="1">
      <alignment horizontal="right" vertical="center"/>
    </xf>
    <xf numFmtId="0" fontId="2" fillId="21" borderId="0" xfId="0" applyFont="1" applyFill="1" applyAlignment="1">
      <alignment horizontal="right" vertical="center"/>
    </xf>
    <xf numFmtId="0" fontId="13" fillId="20" borderId="14" xfId="0" applyFont="1" applyFill="1" applyBorder="1" applyAlignment="1">
      <alignment horizontal="left" vertical="center" indent="1"/>
    </xf>
    <xf numFmtId="0" fontId="13" fillId="20" borderId="0" xfId="0" applyFont="1" applyFill="1" applyAlignment="1">
      <alignment horizontal="right" vertical="center"/>
    </xf>
    <xf numFmtId="0" fontId="3" fillId="20" borderId="0" xfId="0" applyFont="1" applyFill="1" applyAlignment="1">
      <alignment horizontal="right" vertical="center"/>
    </xf>
    <xf numFmtId="17" fontId="4" fillId="22" borderId="0" xfId="0" quotePrefix="1" applyNumberFormat="1" applyFont="1" applyFill="1" applyAlignment="1">
      <alignment horizontal="right" vertical="center"/>
    </xf>
    <xf numFmtId="2" fontId="20" fillId="28" borderId="6" xfId="1" applyNumberFormat="1" applyFont="1" applyFill="1" applyBorder="1" applyAlignment="1">
      <alignment horizontal="center" vertical="center"/>
    </xf>
    <xf numFmtId="10" fontId="20" fillId="29" borderId="0" xfId="2" applyNumberFormat="1" applyFont="1" applyFill="1" applyAlignment="1">
      <alignment vertical="center"/>
    </xf>
    <xf numFmtId="2" fontId="27" fillId="26" borderId="0" xfId="0" applyNumberFormat="1" applyFont="1" applyFill="1" applyAlignment="1">
      <alignment horizontal="center" vertical="center"/>
    </xf>
    <xf numFmtId="2" fontId="27" fillId="27" borderId="0" xfId="0" applyNumberFormat="1" applyFont="1" applyFill="1" applyAlignment="1">
      <alignment horizontal="center" vertical="center"/>
    </xf>
    <xf numFmtId="0" fontId="11" fillId="8" borderId="0" xfId="0" applyFont="1" applyFill="1" applyAlignment="1">
      <alignment horizontal="left" vertical="center" wrapText="1"/>
    </xf>
    <xf numFmtId="0" fontId="21" fillId="0" borderId="0" xfId="0" applyFont="1" applyAlignment="1">
      <alignment horizontal="left" vertical="top" wrapText="1"/>
    </xf>
    <xf numFmtId="0" fontId="12" fillId="8" borderId="0" xfId="0" applyFont="1" applyFill="1" applyAlignment="1">
      <alignment horizontal="center" vertical="center" wrapText="1"/>
    </xf>
    <xf numFmtId="0" fontId="12" fillId="8" borderId="0" xfId="0" applyFont="1" applyFill="1" applyAlignment="1">
      <alignment horizontal="center" vertical="center"/>
    </xf>
    <xf numFmtId="170" fontId="15" fillId="9" borderId="0" xfId="1" applyNumberFormat="1" applyFont="1" applyFill="1" applyAlignment="1">
      <alignment horizontal="right" vertical="center"/>
    </xf>
    <xf numFmtId="10" fontId="15" fillId="9" borderId="0" xfId="0" applyNumberFormat="1" applyFont="1" applyFill="1" applyAlignment="1">
      <alignment horizontal="center" vertical="center"/>
    </xf>
    <xf numFmtId="0" fontId="19" fillId="12" borderId="0" xfId="0" applyFont="1" applyFill="1" applyAlignment="1">
      <alignment horizontal="left" vertical="center" wrapText="1"/>
    </xf>
  </cellXfs>
  <cellStyles count="4">
    <cellStyle name="Normal" xfId="0" builtinId="0"/>
    <cellStyle name="Porcentagem" xfId="2" builtinId="5"/>
    <cellStyle name="Vírgula" xfId="1" builtinId="3"/>
    <cellStyle name="Vírgula 2" xfId="3" xr:uid="{77016C5B-34A0-4077-B22E-595790E1CE68}"/>
  </cellStyles>
  <dxfs count="4">
    <dxf>
      <fill>
        <patternFill>
          <bgColor theme="0" tint="-4.9989318521683403E-2"/>
        </patternFill>
      </fill>
    </dxf>
    <dxf>
      <fill>
        <patternFill>
          <bgColor theme="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colors>
    <mruColors>
      <color rgb="FFFFF1CD"/>
      <color rgb="FFFF9999"/>
      <color rgb="FF1A2C4C"/>
      <color rgb="FF0000FF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59531</xdr:colOff>
      <xdr:row>1</xdr:row>
      <xdr:rowOff>238124</xdr:rowOff>
    </xdr:from>
    <xdr:ext cx="1105767" cy="270397"/>
    <xdr:pic>
      <xdr:nvPicPr>
        <xdr:cNvPr id="2" name="Picture 2">
          <a:extLst>
            <a:ext uri="{FF2B5EF4-FFF2-40B4-BE49-F238E27FC236}">
              <a16:creationId xmlns:a16="http://schemas.microsoft.com/office/drawing/2014/main" id="{B37647F3-F50B-49D7-9B65-DDCFD9301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39741" y="380999"/>
          <a:ext cx="1105767" cy="270397"/>
        </a:xfrm>
        <a:prstGeom prst="rect">
          <a:avLst/>
        </a:prstGeom>
      </xdr:spPr>
    </xdr:pic>
    <xdr:clientData/>
  </xdr:oneCellAnchor>
  <xdr:oneCellAnchor>
    <xdr:from>
      <xdr:col>26</xdr:col>
      <xdr:colOff>59531</xdr:colOff>
      <xdr:row>1</xdr:row>
      <xdr:rowOff>238124</xdr:rowOff>
    </xdr:from>
    <xdr:ext cx="1106402" cy="270397"/>
    <xdr:pic>
      <xdr:nvPicPr>
        <xdr:cNvPr id="3" name="Picture 2">
          <a:extLst>
            <a:ext uri="{FF2B5EF4-FFF2-40B4-BE49-F238E27FC236}">
              <a16:creationId xmlns:a16="http://schemas.microsoft.com/office/drawing/2014/main" id="{1C745D36-3A75-4713-BB21-26D13540D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39741" y="380999"/>
          <a:ext cx="1106402" cy="270397"/>
        </a:xfrm>
        <a:prstGeom prst="rect">
          <a:avLst/>
        </a:prstGeom>
      </xdr:spPr>
    </xdr:pic>
    <xdr:clientData/>
  </xdr:oneCellAnchor>
  <xdr:oneCellAnchor>
    <xdr:from>
      <xdr:col>26</xdr:col>
      <xdr:colOff>59531</xdr:colOff>
      <xdr:row>1</xdr:row>
      <xdr:rowOff>238124</xdr:rowOff>
    </xdr:from>
    <xdr:ext cx="1106402" cy="270397"/>
    <xdr:pic>
      <xdr:nvPicPr>
        <xdr:cNvPr id="4" name="Picture 3">
          <a:extLst>
            <a:ext uri="{FF2B5EF4-FFF2-40B4-BE49-F238E27FC236}">
              <a16:creationId xmlns:a16="http://schemas.microsoft.com/office/drawing/2014/main" id="{80655297-B086-4A7B-88E4-407BADEF8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39741" y="380999"/>
          <a:ext cx="1106402" cy="27039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38</xdr:col>
      <xdr:colOff>409575</xdr:colOff>
      <xdr:row>1</xdr:row>
      <xdr:rowOff>218756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8750AFA5-09DC-4602-9B48-F01D5A0F0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22250" y="695006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179504</xdr:colOff>
      <xdr:row>3</xdr:row>
      <xdr:rowOff>65034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FC5983-4546-4B72-993C-1125BB478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08619" y="435427"/>
          <a:ext cx="110368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atto%20Workplace/RBRAsset/04.%20Cr&#233;dito/02.%20Investimentos/Acompanhamento/Planilh&#227;o/Base%20-%20n&#227;o%20salvar%20em%20cima/Planilh&#227;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057F3-EF5F-4C97-8E83-64FDFD5C20B4}">
  <sheetPr codeName="Sheet1">
    <tabColor theme="1" tint="0.79998168889431442"/>
  </sheetPr>
  <dimension ref="A1:AH32"/>
  <sheetViews>
    <sheetView showGridLines="0" tabSelected="1" zoomScale="55" zoomScaleNormal="55" workbookViewId="0">
      <pane xSplit="2" ySplit="6" topLeftCell="P7" activePane="bottomRight" state="frozen"/>
      <selection pane="topRight"/>
      <selection pane="bottomLeft"/>
      <selection pane="bottomRight" activeCell="S13" sqref="S13"/>
    </sheetView>
  </sheetViews>
  <sheetFormatPr defaultColWidth="0" defaultRowHeight="18.75" customHeight="1" zeroHeight="1" x14ac:dyDescent="0.25"/>
  <cols>
    <col min="1" max="1" width="3.5703125" style="133" customWidth="1"/>
    <col min="2" max="2" width="43.5703125" style="1" customWidth="1"/>
    <col min="3" max="3" width="111.42578125" style="1" customWidth="1"/>
    <col min="4" max="4" width="19.28515625" style="1" customWidth="1"/>
    <col min="5" max="5" width="30.85546875" style="1" customWidth="1"/>
    <col min="6" max="6" width="17" style="1" bestFit="1" customWidth="1"/>
    <col min="7" max="9" width="16.140625" style="1" customWidth="1"/>
    <col min="10" max="10" width="14.5703125" style="1" customWidth="1"/>
    <col min="11" max="11" width="12.85546875" style="1" customWidth="1"/>
    <col min="12" max="13" width="20.5703125" style="1" customWidth="1"/>
    <col min="14" max="14" width="17.7109375" style="1" customWidth="1"/>
    <col min="15" max="15" width="20.5703125" style="1" customWidth="1"/>
    <col min="16" max="16" width="15.5703125" style="1" customWidth="1"/>
    <col min="17" max="17" width="14.7109375" style="1" bestFit="1" customWidth="1"/>
    <col min="18" max="18" width="19.7109375" style="1" customWidth="1"/>
    <col min="19" max="19" width="12.42578125" style="1" customWidth="1"/>
    <col min="20" max="20" width="17.5703125" style="1" customWidth="1"/>
    <col min="21" max="21" width="21.28515625" style="1" customWidth="1"/>
    <col min="22" max="22" width="17.5703125" style="1" customWidth="1"/>
    <col min="23" max="23" width="28.42578125" style="1" customWidth="1"/>
    <col min="24" max="24" width="18.28515625" style="1" customWidth="1"/>
    <col min="25" max="27" width="24.85546875" style="1" customWidth="1"/>
    <col min="28" max="28" width="3.5703125" style="133" customWidth="1"/>
    <col min="29" max="29" width="9.140625" style="1" hidden="1" customWidth="1"/>
    <col min="30" max="30" width="30.140625" style="1" hidden="1" customWidth="1"/>
    <col min="31" max="31" width="19.28515625" style="1" hidden="1" customWidth="1"/>
    <col min="32" max="34" width="13.28515625" style="1" hidden="1" customWidth="1"/>
    <col min="35" max="16384" width="9.140625" style="1" hidden="1"/>
  </cols>
  <sheetData>
    <row r="1" spans="1:30" s="133" customFormat="1" ht="18.75" customHeight="1" x14ac:dyDescent="0.25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2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</row>
    <row r="2" spans="1:30" s="133" customFormat="1" ht="18.75" customHeight="1" x14ac:dyDescent="0.25">
      <c r="A2" s="131"/>
      <c r="B2" s="134" t="s">
        <v>160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6"/>
      <c r="Q2" s="135"/>
      <c r="R2" s="135"/>
      <c r="S2" s="135"/>
      <c r="T2" s="131"/>
      <c r="U2" s="131"/>
      <c r="V2" s="131"/>
      <c r="W2" s="131"/>
      <c r="X2" s="131"/>
      <c r="Y2" s="131"/>
      <c r="Z2" s="131"/>
      <c r="AA2" s="131"/>
      <c r="AB2" s="137"/>
    </row>
    <row r="3" spans="1:30" s="133" customFormat="1" ht="18.75" customHeight="1" x14ac:dyDescent="0.25">
      <c r="A3" s="131"/>
      <c r="B3" s="134" t="s">
        <v>0</v>
      </c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6"/>
      <c r="Q3" s="135"/>
      <c r="R3" s="135"/>
      <c r="S3" s="135"/>
      <c r="T3" s="131"/>
      <c r="U3" s="131"/>
      <c r="V3" s="131"/>
      <c r="W3" s="131"/>
      <c r="X3" s="131"/>
      <c r="Y3" s="131"/>
      <c r="Z3" s="131"/>
      <c r="AA3" s="131"/>
      <c r="AB3" s="137"/>
    </row>
    <row r="4" spans="1:30" s="133" customFormat="1" ht="18.75" customHeight="1" x14ac:dyDescent="0.25">
      <c r="A4" s="131"/>
      <c r="B4" s="138">
        <v>45689</v>
      </c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40"/>
      <c r="Q4" s="139"/>
      <c r="R4" s="139"/>
      <c r="S4" s="139"/>
      <c r="T4" s="131"/>
      <c r="U4" s="131"/>
      <c r="V4" s="131"/>
      <c r="W4" s="131"/>
      <c r="X4" s="131"/>
      <c r="Y4" s="131"/>
      <c r="Z4" s="131"/>
      <c r="AA4" s="131"/>
      <c r="AB4" s="137"/>
    </row>
    <row r="5" spans="1:30" s="133" customFormat="1" ht="18.75" customHeight="1" x14ac:dyDescent="0.25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2"/>
      <c r="Q5" s="131"/>
      <c r="R5" s="131"/>
      <c r="S5" s="131"/>
      <c r="T5" s="131"/>
      <c r="U5" s="131"/>
      <c r="V5" s="131"/>
      <c r="W5" s="131"/>
      <c r="X5" s="131"/>
      <c r="Y5" s="131"/>
      <c r="Z5" s="131"/>
      <c r="AA5" s="131"/>
      <c r="AB5" s="131"/>
    </row>
    <row r="6" spans="1:30" ht="37.5" customHeight="1" x14ac:dyDescent="0.25">
      <c r="A6" s="131"/>
      <c r="B6" s="73" t="s">
        <v>1</v>
      </c>
      <c r="C6" s="74" t="s">
        <v>2</v>
      </c>
      <c r="D6" s="75" t="s">
        <v>3</v>
      </c>
      <c r="E6" s="75" t="s">
        <v>4</v>
      </c>
      <c r="F6" s="76" t="s">
        <v>6</v>
      </c>
      <c r="G6" s="76" t="s">
        <v>59</v>
      </c>
      <c r="H6" s="76" t="s">
        <v>54</v>
      </c>
      <c r="I6" s="76" t="s">
        <v>60</v>
      </c>
      <c r="J6" s="76" t="s">
        <v>55</v>
      </c>
      <c r="K6" s="76" t="s">
        <v>5</v>
      </c>
      <c r="L6" s="76" t="s">
        <v>61</v>
      </c>
      <c r="M6" s="76" t="s">
        <v>62</v>
      </c>
      <c r="N6" s="76" t="s">
        <v>63</v>
      </c>
      <c r="O6" s="76" t="s">
        <v>64</v>
      </c>
      <c r="P6" s="76" t="s">
        <v>65</v>
      </c>
      <c r="Q6" s="76" t="s">
        <v>66</v>
      </c>
      <c r="R6" s="76" t="s">
        <v>7</v>
      </c>
      <c r="S6" s="76" t="s">
        <v>8</v>
      </c>
      <c r="T6" s="76" t="s">
        <v>9</v>
      </c>
      <c r="U6" s="75" t="s">
        <v>10</v>
      </c>
      <c r="V6" s="75" t="s">
        <v>11</v>
      </c>
      <c r="W6" s="75" t="s">
        <v>12</v>
      </c>
      <c r="X6" s="75" t="s">
        <v>13</v>
      </c>
      <c r="Y6" s="76" t="s">
        <v>14</v>
      </c>
      <c r="Z6" s="76" t="s">
        <v>15</v>
      </c>
      <c r="AA6" s="76" t="s">
        <v>16</v>
      </c>
      <c r="AB6" s="131"/>
    </row>
    <row r="7" spans="1:30" ht="75" customHeight="1" x14ac:dyDescent="0.25">
      <c r="A7" s="131"/>
      <c r="B7" s="2" t="s">
        <v>143</v>
      </c>
      <c r="C7" s="3" t="s">
        <v>144</v>
      </c>
      <c r="D7" s="4" t="s">
        <v>24</v>
      </c>
      <c r="E7" s="5" t="s">
        <v>22</v>
      </c>
      <c r="F7" s="5" t="s">
        <v>21</v>
      </c>
      <c r="G7" s="18">
        <v>0.1021</v>
      </c>
      <c r="H7" s="18">
        <v>0.11650000000000001</v>
      </c>
      <c r="I7" s="17">
        <v>28128254.255281281</v>
      </c>
      <c r="J7" s="19">
        <v>27898265.239683319</v>
      </c>
      <c r="K7" s="6">
        <v>8.1769353541941328E-2</v>
      </c>
      <c r="L7" s="6">
        <v>0.99906811371879978</v>
      </c>
      <c r="M7" s="6">
        <v>0.20144514057146135</v>
      </c>
      <c r="N7" s="17">
        <v>150000</v>
      </c>
      <c r="O7" s="17">
        <v>139502</v>
      </c>
      <c r="P7" s="17">
        <v>28102</v>
      </c>
      <c r="Q7" s="20">
        <v>0.54309997441493596</v>
      </c>
      <c r="R7" s="21">
        <v>46017</v>
      </c>
      <c r="S7" s="7">
        <v>0.57231944312844829</v>
      </c>
      <c r="T7" s="4" t="s">
        <v>145</v>
      </c>
      <c r="U7" s="5" t="s">
        <v>146</v>
      </c>
      <c r="V7" s="5" t="s">
        <v>52</v>
      </c>
      <c r="W7" s="5" t="s">
        <v>67</v>
      </c>
      <c r="X7" s="5" t="s">
        <v>58</v>
      </c>
      <c r="Y7" s="7">
        <v>1</v>
      </c>
      <c r="Z7" s="7">
        <v>1</v>
      </c>
      <c r="AA7" s="7">
        <v>1</v>
      </c>
      <c r="AB7" s="131"/>
      <c r="AD7" s="63"/>
    </row>
    <row r="8" spans="1:30" ht="75" customHeight="1" x14ac:dyDescent="0.25">
      <c r="A8" s="131"/>
      <c r="B8" s="2" t="s">
        <v>238</v>
      </c>
      <c r="C8" s="3" t="s">
        <v>239</v>
      </c>
      <c r="D8" s="4" t="s">
        <v>24</v>
      </c>
      <c r="E8" s="5" t="s">
        <v>22</v>
      </c>
      <c r="F8" s="5" t="s">
        <v>21</v>
      </c>
      <c r="G8" s="18">
        <v>9.9000000000000005E-2</v>
      </c>
      <c r="H8" s="18">
        <v>9.9000000000000005E-2</v>
      </c>
      <c r="I8" s="17">
        <v>23141848.135060001</v>
      </c>
      <c r="J8" s="19">
        <v>23075101.509920001</v>
      </c>
      <c r="K8" s="6">
        <v>6.7632740500901872E-2</v>
      </c>
      <c r="L8" s="6">
        <v>1</v>
      </c>
      <c r="M8" s="6">
        <v>0.53488372093023251</v>
      </c>
      <c r="N8" s="17">
        <v>43000</v>
      </c>
      <c r="O8" s="17">
        <v>43000</v>
      </c>
      <c r="P8" s="17">
        <v>23000</v>
      </c>
      <c r="Q8" s="20">
        <v>4.1091653408459354</v>
      </c>
      <c r="R8" s="21">
        <v>49322</v>
      </c>
      <c r="S8" s="7">
        <v>0.53</v>
      </c>
      <c r="T8" s="4" t="s">
        <v>240</v>
      </c>
      <c r="U8" s="5" t="s">
        <v>146</v>
      </c>
      <c r="V8" s="5" t="s">
        <v>202</v>
      </c>
      <c r="W8" s="5" t="s">
        <v>67</v>
      </c>
      <c r="X8" s="5" t="s">
        <v>58</v>
      </c>
      <c r="Y8" s="7">
        <v>0.75</v>
      </c>
      <c r="Z8" s="7">
        <v>0</v>
      </c>
      <c r="AA8" s="7">
        <v>0</v>
      </c>
      <c r="AB8" s="131"/>
      <c r="AD8" s="63"/>
    </row>
    <row r="9" spans="1:30" ht="75" customHeight="1" x14ac:dyDescent="0.25">
      <c r="A9" s="131"/>
      <c r="B9" s="2" t="s">
        <v>241</v>
      </c>
      <c r="C9" s="3" t="s">
        <v>242</v>
      </c>
      <c r="D9" s="4" t="s">
        <v>24</v>
      </c>
      <c r="E9" s="5" t="s">
        <v>22</v>
      </c>
      <c r="F9" s="5" t="s">
        <v>21</v>
      </c>
      <c r="G9" s="18">
        <v>0.105</v>
      </c>
      <c r="H9" s="18">
        <v>0.1069</v>
      </c>
      <c r="I9" s="17">
        <v>21449372.72140605</v>
      </c>
      <c r="J9" s="19">
        <v>21306871.249975</v>
      </c>
      <c r="K9" s="6">
        <v>6.245008688330931E-2</v>
      </c>
      <c r="L9" s="6">
        <v>1</v>
      </c>
      <c r="M9" s="6">
        <v>0.45235209623844153</v>
      </c>
      <c r="N9" s="17">
        <v>100000</v>
      </c>
      <c r="O9" s="17">
        <v>44556</v>
      </c>
      <c r="P9" s="17">
        <v>20155</v>
      </c>
      <c r="Q9" s="20">
        <v>7.6900538659226259</v>
      </c>
      <c r="R9" s="21">
        <v>50910</v>
      </c>
      <c r="S9" s="7">
        <v>0.46500703890357481</v>
      </c>
      <c r="T9" s="4" t="s">
        <v>243</v>
      </c>
      <c r="U9" s="5" t="s">
        <v>146</v>
      </c>
      <c r="V9" s="5" t="s">
        <v>191</v>
      </c>
      <c r="W9" s="5" t="s">
        <v>56</v>
      </c>
      <c r="X9" s="5" t="s">
        <v>58</v>
      </c>
      <c r="Y9" s="7">
        <v>0.15176752620939091</v>
      </c>
      <c r="Z9" s="7">
        <v>8.2639822861531348E-2</v>
      </c>
      <c r="AA9" s="7">
        <v>0</v>
      </c>
      <c r="AB9" s="131"/>
      <c r="AD9" s="63"/>
    </row>
    <row r="10" spans="1:30" ht="75" customHeight="1" x14ac:dyDescent="0.25">
      <c r="A10" s="131"/>
      <c r="B10" s="2" t="s">
        <v>168</v>
      </c>
      <c r="C10" s="3" t="s">
        <v>169</v>
      </c>
      <c r="D10" s="4" t="s">
        <v>170</v>
      </c>
      <c r="E10" s="5" t="s">
        <v>22</v>
      </c>
      <c r="F10" s="5" t="s">
        <v>21</v>
      </c>
      <c r="G10" s="18">
        <v>9.8000000000000004E-2</v>
      </c>
      <c r="H10" s="18">
        <v>0.12189999999999999</v>
      </c>
      <c r="I10" s="17">
        <v>21567699.27942504</v>
      </c>
      <c r="J10" s="19">
        <v>21083907.579794429</v>
      </c>
      <c r="K10" s="6">
        <v>6.1796584057331773E-2</v>
      </c>
      <c r="L10" s="6">
        <v>1</v>
      </c>
      <c r="M10" s="6">
        <v>0.741475</v>
      </c>
      <c r="N10" s="17">
        <v>40000</v>
      </c>
      <c r="O10" s="17">
        <v>40000</v>
      </c>
      <c r="P10" s="17">
        <v>29659</v>
      </c>
      <c r="Q10" s="20">
        <v>1.0146321520516965</v>
      </c>
      <c r="R10" s="21">
        <v>46197</v>
      </c>
      <c r="S10" s="7">
        <v>0.62681569528987913</v>
      </c>
      <c r="T10" s="4" t="s">
        <v>171</v>
      </c>
      <c r="U10" s="5" t="s">
        <v>172</v>
      </c>
      <c r="V10" s="5" t="s">
        <v>52</v>
      </c>
      <c r="W10" s="5" t="s">
        <v>67</v>
      </c>
      <c r="X10" s="5" t="s">
        <v>58</v>
      </c>
      <c r="Y10" s="7">
        <v>1</v>
      </c>
      <c r="Z10" s="7">
        <v>1</v>
      </c>
      <c r="AA10" s="7">
        <v>1</v>
      </c>
      <c r="AB10" s="131"/>
    </row>
    <row r="11" spans="1:30" ht="75" customHeight="1" x14ac:dyDescent="0.25">
      <c r="A11" s="131"/>
      <c r="B11" s="2" t="s">
        <v>193</v>
      </c>
      <c r="C11" s="3" t="s">
        <v>197</v>
      </c>
      <c r="D11" s="4" t="s">
        <v>17</v>
      </c>
      <c r="E11" s="5" t="s">
        <v>22</v>
      </c>
      <c r="F11" s="5" t="s">
        <v>21</v>
      </c>
      <c r="G11" s="18">
        <v>0.11</v>
      </c>
      <c r="H11" s="18">
        <v>0.12410000000000002</v>
      </c>
      <c r="I11" s="17">
        <v>22064489.139068481</v>
      </c>
      <c r="J11" s="19">
        <v>21000300.160020161</v>
      </c>
      <c r="K11" s="6">
        <v>6.1551532094153531E-2</v>
      </c>
      <c r="L11" s="6">
        <v>1</v>
      </c>
      <c r="M11" s="6">
        <v>0.99463529411764706</v>
      </c>
      <c r="N11" s="17">
        <v>21250</v>
      </c>
      <c r="O11" s="17">
        <v>21250</v>
      </c>
      <c r="P11" s="17">
        <v>21136</v>
      </c>
      <c r="Q11" s="20">
        <v>2.7038848330235994</v>
      </c>
      <c r="R11" s="21">
        <v>46871</v>
      </c>
      <c r="S11" s="7">
        <v>0.57269601838194995</v>
      </c>
      <c r="T11" s="4" t="s">
        <v>194</v>
      </c>
      <c r="U11" s="5" t="s">
        <v>146</v>
      </c>
      <c r="V11" s="5" t="s">
        <v>52</v>
      </c>
      <c r="W11" s="5" t="s">
        <v>67</v>
      </c>
      <c r="X11" s="5" t="s">
        <v>58</v>
      </c>
      <c r="Y11" s="7">
        <v>1</v>
      </c>
      <c r="Z11" s="7">
        <v>1</v>
      </c>
      <c r="AA11" s="7">
        <v>0</v>
      </c>
      <c r="AB11" s="131"/>
      <c r="AD11" s="63"/>
    </row>
    <row r="12" spans="1:30" ht="75" customHeight="1" x14ac:dyDescent="0.25">
      <c r="A12" s="131"/>
      <c r="B12" s="2" t="s">
        <v>198</v>
      </c>
      <c r="C12" s="3" t="s">
        <v>173</v>
      </c>
      <c r="D12" s="4" t="s">
        <v>17</v>
      </c>
      <c r="E12" s="5" t="s">
        <v>22</v>
      </c>
      <c r="F12" s="5" t="s">
        <v>21</v>
      </c>
      <c r="G12" s="18">
        <v>0.124</v>
      </c>
      <c r="H12" s="18">
        <v>0.12570000000000001</v>
      </c>
      <c r="I12" s="17">
        <v>19261235.966230441</v>
      </c>
      <c r="J12" s="19">
        <v>19104602.940032218</v>
      </c>
      <c r="K12" s="6">
        <v>5.5995274926981045E-2</v>
      </c>
      <c r="L12" s="6">
        <v>0.58344444444444443</v>
      </c>
      <c r="M12" s="6">
        <v>0.27059259259259261</v>
      </c>
      <c r="N12" s="17">
        <v>81000</v>
      </c>
      <c r="O12" s="17">
        <v>81000</v>
      </c>
      <c r="P12" s="17">
        <v>21918</v>
      </c>
      <c r="Q12" s="20">
        <v>5.3064965689391821</v>
      </c>
      <c r="R12" s="21">
        <v>49536</v>
      </c>
      <c r="S12" s="7">
        <v>0.61131436578921172</v>
      </c>
      <c r="T12" s="4" t="s">
        <v>174</v>
      </c>
      <c r="U12" s="5" t="s">
        <v>146</v>
      </c>
      <c r="V12" s="5" t="s">
        <v>25</v>
      </c>
      <c r="W12" s="5" t="s">
        <v>56</v>
      </c>
      <c r="X12" s="5" t="s">
        <v>58</v>
      </c>
      <c r="Y12" s="7">
        <v>8.3303879280769488E-2</v>
      </c>
      <c r="Z12" s="7">
        <v>0</v>
      </c>
      <c r="AA12" s="7">
        <v>0</v>
      </c>
      <c r="AB12" s="131"/>
      <c r="AD12" s="63"/>
    </row>
    <row r="13" spans="1:30" ht="75" customHeight="1" x14ac:dyDescent="0.25">
      <c r="A13" s="131"/>
      <c r="B13" s="2" t="s">
        <v>213</v>
      </c>
      <c r="C13" s="3" t="s">
        <v>229</v>
      </c>
      <c r="D13" s="4" t="s">
        <v>24</v>
      </c>
      <c r="E13" s="5" t="s">
        <v>22</v>
      </c>
      <c r="F13" s="5" t="s">
        <v>21</v>
      </c>
      <c r="G13" s="18">
        <v>8.2500000000000004E-2</v>
      </c>
      <c r="H13" s="18">
        <v>9.6300000000000011E-2</v>
      </c>
      <c r="I13" s="17">
        <v>18519250.619932499</v>
      </c>
      <c r="J13" s="19">
        <v>17721505.400001001</v>
      </c>
      <c r="K13" s="6">
        <v>5.1941438935310412E-2</v>
      </c>
      <c r="L13" s="6">
        <v>0.82278602620087338</v>
      </c>
      <c r="M13" s="6">
        <v>0.15655021834061136</v>
      </c>
      <c r="N13" s="17">
        <v>140000</v>
      </c>
      <c r="O13" s="17">
        <v>114500</v>
      </c>
      <c r="P13" s="17">
        <v>17925</v>
      </c>
      <c r="Q13" s="20">
        <v>2.2747327047383443</v>
      </c>
      <c r="R13" s="21">
        <v>47576</v>
      </c>
      <c r="S13" s="7" t="s">
        <v>215</v>
      </c>
      <c r="T13" s="4" t="s">
        <v>214</v>
      </c>
      <c r="U13" s="5" t="s">
        <v>172</v>
      </c>
      <c r="V13" s="5" t="s">
        <v>53</v>
      </c>
      <c r="W13" s="5" t="s">
        <v>19</v>
      </c>
      <c r="X13" s="5" t="s">
        <v>236</v>
      </c>
      <c r="Y13" s="7" t="s">
        <v>215</v>
      </c>
      <c r="Z13" s="7" t="s">
        <v>215</v>
      </c>
      <c r="AA13" s="7" t="s">
        <v>215</v>
      </c>
      <c r="AB13" s="131"/>
      <c r="AD13" s="63"/>
    </row>
    <row r="14" spans="1:30" ht="75" customHeight="1" x14ac:dyDescent="0.25">
      <c r="A14" s="131"/>
      <c r="B14" s="2" t="s">
        <v>187</v>
      </c>
      <c r="C14" s="3" t="s">
        <v>188</v>
      </c>
      <c r="D14" s="4" t="s">
        <v>17</v>
      </c>
      <c r="E14" s="5" t="s">
        <v>22</v>
      </c>
      <c r="F14" s="5" t="s">
        <v>21</v>
      </c>
      <c r="G14" s="18">
        <v>9.5000000000000001E-2</v>
      </c>
      <c r="H14" s="18">
        <v>0.1042</v>
      </c>
      <c r="I14" s="17">
        <v>18076716.970800001</v>
      </c>
      <c r="J14" s="19">
        <v>17516159.489999998</v>
      </c>
      <c r="K14" s="6">
        <v>5.1339573472744676E-2</v>
      </c>
      <c r="L14" s="6">
        <v>0.48322500000000002</v>
      </c>
      <c r="M14" s="6">
        <v>0.125</v>
      </c>
      <c r="N14" s="17">
        <v>160000</v>
      </c>
      <c r="O14" s="17">
        <v>160000</v>
      </c>
      <c r="P14" s="17">
        <v>20000</v>
      </c>
      <c r="Q14" s="20">
        <v>3.7874004961214682</v>
      </c>
      <c r="R14" s="21">
        <v>48928</v>
      </c>
      <c r="S14" s="7">
        <v>0.4149530530565107</v>
      </c>
      <c r="T14" s="4" t="s">
        <v>189</v>
      </c>
      <c r="U14" s="5" t="s">
        <v>146</v>
      </c>
      <c r="V14" s="5" t="s">
        <v>52</v>
      </c>
      <c r="W14" s="5" t="s">
        <v>67</v>
      </c>
      <c r="X14" s="5" t="s">
        <v>58</v>
      </c>
      <c r="Y14" s="7">
        <v>0</v>
      </c>
      <c r="Z14" s="7">
        <v>0</v>
      </c>
      <c r="AA14" s="7">
        <v>0</v>
      </c>
      <c r="AB14" s="131"/>
      <c r="AD14" s="63"/>
    </row>
    <row r="15" spans="1:30" ht="75" customHeight="1" x14ac:dyDescent="0.25">
      <c r="A15" s="131"/>
      <c r="B15" s="2" t="s">
        <v>159</v>
      </c>
      <c r="C15" s="3" t="s">
        <v>156</v>
      </c>
      <c r="D15" s="4" t="s">
        <v>26</v>
      </c>
      <c r="E15" s="5" t="s">
        <v>22</v>
      </c>
      <c r="F15" s="5" t="s">
        <v>21</v>
      </c>
      <c r="G15" s="18">
        <v>8.5999999999999993E-2</v>
      </c>
      <c r="H15" s="18">
        <v>0.1137</v>
      </c>
      <c r="I15" s="17">
        <v>17993727.885436203</v>
      </c>
      <c r="J15" s="19">
        <v>16792064.149981</v>
      </c>
      <c r="K15" s="6">
        <v>4.921726201906098E-2</v>
      </c>
      <c r="L15" s="6">
        <v>1</v>
      </c>
      <c r="M15" s="6">
        <v>1</v>
      </c>
      <c r="N15" s="17">
        <v>16340</v>
      </c>
      <c r="O15" s="17">
        <v>16340</v>
      </c>
      <c r="P15" s="17">
        <v>16340</v>
      </c>
      <c r="Q15" s="20">
        <v>2.1064947119802166</v>
      </c>
      <c r="R15" s="21">
        <v>46555</v>
      </c>
      <c r="S15" s="7">
        <v>0.74950000000000006</v>
      </c>
      <c r="T15" s="4" t="s">
        <v>158</v>
      </c>
      <c r="U15" s="5" t="s">
        <v>18</v>
      </c>
      <c r="V15" s="5" t="s">
        <v>52</v>
      </c>
      <c r="W15" s="5" t="s">
        <v>57</v>
      </c>
      <c r="X15" s="5" t="s">
        <v>58</v>
      </c>
      <c r="Y15" s="7">
        <v>1</v>
      </c>
      <c r="Z15" s="7">
        <v>1</v>
      </c>
      <c r="AA15" s="7">
        <v>1</v>
      </c>
      <c r="AB15" s="131"/>
      <c r="AD15" s="63"/>
    </row>
    <row r="16" spans="1:30" ht="75" customHeight="1" x14ac:dyDescent="0.25">
      <c r="A16" s="131"/>
      <c r="B16" s="2" t="s">
        <v>216</v>
      </c>
      <c r="C16" s="3" t="s">
        <v>217</v>
      </c>
      <c r="D16" s="4" t="s">
        <v>24</v>
      </c>
      <c r="E16" s="5" t="s">
        <v>22</v>
      </c>
      <c r="F16" s="5" t="s">
        <v>21</v>
      </c>
      <c r="G16" s="18">
        <v>0.125</v>
      </c>
      <c r="H16" s="18">
        <v>9.7089629929185683E-2</v>
      </c>
      <c r="I16" s="17">
        <v>15881540.2379837</v>
      </c>
      <c r="J16" s="19">
        <v>15726804.369982822</v>
      </c>
      <c r="K16" s="6">
        <v>4.6095003240017612E-2</v>
      </c>
      <c r="L16" s="6">
        <v>0.81748062015503875</v>
      </c>
      <c r="M16" s="6">
        <v>0.14048449612403099</v>
      </c>
      <c r="N16" s="17">
        <v>126000</v>
      </c>
      <c r="O16" s="17">
        <v>103200</v>
      </c>
      <c r="P16" s="17">
        <v>14498</v>
      </c>
      <c r="Q16" s="20">
        <v>5.2738095238095228</v>
      </c>
      <c r="R16" s="21">
        <v>47661</v>
      </c>
      <c r="S16" s="7">
        <v>0.79999999999999993</v>
      </c>
      <c r="T16" s="4" t="s">
        <v>218</v>
      </c>
      <c r="U16" s="5" t="s">
        <v>146</v>
      </c>
      <c r="V16" s="5" t="s">
        <v>52</v>
      </c>
      <c r="W16" s="5" t="s">
        <v>67</v>
      </c>
      <c r="X16" s="5" t="s">
        <v>58</v>
      </c>
      <c r="Y16" s="7">
        <v>1</v>
      </c>
      <c r="Z16" s="7">
        <v>1</v>
      </c>
      <c r="AA16" s="7">
        <v>1</v>
      </c>
      <c r="AB16" s="131"/>
      <c r="AD16" s="63"/>
    </row>
    <row r="17" spans="1:30" ht="75" customHeight="1" x14ac:dyDescent="0.25">
      <c r="A17" s="131"/>
      <c r="B17" s="2" t="s">
        <v>68</v>
      </c>
      <c r="C17" s="3" t="s">
        <v>69</v>
      </c>
      <c r="D17" s="4" t="s">
        <v>70</v>
      </c>
      <c r="E17" s="5" t="s">
        <v>51</v>
      </c>
      <c r="F17" s="5" t="s">
        <v>21</v>
      </c>
      <c r="G17" s="18">
        <v>9.5000000000000001E-2</v>
      </c>
      <c r="H17" s="18">
        <v>0.1178</v>
      </c>
      <c r="I17" s="17">
        <v>15711106.398798719</v>
      </c>
      <c r="J17" s="19">
        <v>14801562.379968001</v>
      </c>
      <c r="K17" s="6">
        <v>4.3383134285321631E-2</v>
      </c>
      <c r="L17" s="6">
        <v>0.18628749999999999</v>
      </c>
      <c r="M17" s="6">
        <v>9.5549999999999996E-2</v>
      </c>
      <c r="N17" s="17">
        <v>160000</v>
      </c>
      <c r="O17" s="17">
        <v>160000</v>
      </c>
      <c r="P17" s="17">
        <v>15288</v>
      </c>
      <c r="Q17" s="20">
        <v>3.3529441371711637</v>
      </c>
      <c r="R17" s="21">
        <v>48442</v>
      </c>
      <c r="S17" s="7">
        <v>0.72287797869059833</v>
      </c>
      <c r="T17" s="4" t="s">
        <v>71</v>
      </c>
      <c r="U17" s="5" t="s">
        <v>18</v>
      </c>
      <c r="V17" s="5" t="s">
        <v>25</v>
      </c>
      <c r="W17" s="5" t="s">
        <v>19</v>
      </c>
      <c r="X17" s="5" t="s">
        <v>58</v>
      </c>
      <c r="Y17" s="7">
        <v>1</v>
      </c>
      <c r="Z17" s="7">
        <v>0</v>
      </c>
      <c r="AA17" s="7">
        <v>0</v>
      </c>
      <c r="AB17" s="131"/>
      <c r="AD17" s="63"/>
    </row>
    <row r="18" spans="1:30" ht="75" customHeight="1" x14ac:dyDescent="0.25">
      <c r="A18" s="131"/>
      <c r="B18" s="2" t="s">
        <v>199</v>
      </c>
      <c r="C18" s="3" t="s">
        <v>200</v>
      </c>
      <c r="D18" s="4" t="s">
        <v>26</v>
      </c>
      <c r="E18" s="5" t="s">
        <v>22</v>
      </c>
      <c r="F18" s="5" t="s">
        <v>23</v>
      </c>
      <c r="G18" s="18">
        <v>5.1799999999999999E-2</v>
      </c>
      <c r="H18" s="18">
        <v>0.05</v>
      </c>
      <c r="I18" s="17">
        <v>12485971.096515</v>
      </c>
      <c r="J18" s="19">
        <v>12486306.490049681</v>
      </c>
      <c r="K18" s="6">
        <v>3.6597157602674603E-2</v>
      </c>
      <c r="L18" s="6">
        <v>0.84</v>
      </c>
      <c r="M18" s="6">
        <v>0.82446666666666668</v>
      </c>
      <c r="N18" s="17">
        <v>120000</v>
      </c>
      <c r="O18" s="17">
        <v>15000</v>
      </c>
      <c r="P18" s="17">
        <v>12367</v>
      </c>
      <c r="Q18" s="20">
        <v>3.4985445672148017</v>
      </c>
      <c r="R18" s="21">
        <v>47217</v>
      </c>
      <c r="S18" s="7">
        <v>0.19451896757331466</v>
      </c>
      <c r="T18" s="4" t="s">
        <v>201</v>
      </c>
      <c r="U18" s="5" t="s">
        <v>146</v>
      </c>
      <c r="V18" s="5" t="s">
        <v>202</v>
      </c>
      <c r="W18" s="5" t="s">
        <v>67</v>
      </c>
      <c r="X18" s="5" t="s">
        <v>58</v>
      </c>
      <c r="Y18" s="7">
        <v>0</v>
      </c>
      <c r="Z18" s="7">
        <v>0</v>
      </c>
      <c r="AA18" s="7">
        <v>0</v>
      </c>
      <c r="AB18" s="131"/>
      <c r="AD18" s="63"/>
    </row>
    <row r="19" spans="1:30" ht="75" customHeight="1" x14ac:dyDescent="0.25">
      <c r="A19" s="131"/>
      <c r="B19" s="2" t="s">
        <v>179</v>
      </c>
      <c r="C19" s="3" t="s">
        <v>180</v>
      </c>
      <c r="D19" s="4" t="s">
        <v>26</v>
      </c>
      <c r="E19" s="5" t="s">
        <v>181</v>
      </c>
      <c r="F19" s="5" t="s">
        <v>21</v>
      </c>
      <c r="G19" s="18">
        <v>0.105</v>
      </c>
      <c r="H19" s="18">
        <v>0.10439999999999999</v>
      </c>
      <c r="I19" s="17">
        <v>11539463.972129429</v>
      </c>
      <c r="J19" s="19">
        <v>10901649.47004075</v>
      </c>
      <c r="K19" s="6">
        <v>3.1952554112149457E-2</v>
      </c>
      <c r="L19" s="6">
        <v>0.25004187059195715</v>
      </c>
      <c r="M19" s="6">
        <v>0.10001488732158476</v>
      </c>
      <c r="N19" s="17">
        <v>107474</v>
      </c>
      <c r="O19" s="17">
        <v>107474</v>
      </c>
      <c r="P19" s="17">
        <v>10749</v>
      </c>
      <c r="Q19" s="20">
        <v>4.3902358875941667</v>
      </c>
      <c r="R19" s="21">
        <v>49527</v>
      </c>
      <c r="S19" s="7">
        <v>0.75</v>
      </c>
      <c r="T19" s="4" t="s">
        <v>182</v>
      </c>
      <c r="U19" s="5" t="s">
        <v>18</v>
      </c>
      <c r="V19" s="5" t="s">
        <v>52</v>
      </c>
      <c r="W19" s="5" t="s">
        <v>57</v>
      </c>
      <c r="X19" s="5" t="s">
        <v>58</v>
      </c>
      <c r="Y19" s="7">
        <v>0</v>
      </c>
      <c r="Z19" s="7">
        <v>0</v>
      </c>
      <c r="AA19" s="7">
        <v>0</v>
      </c>
      <c r="AB19" s="131"/>
      <c r="AD19" s="63"/>
    </row>
    <row r="20" spans="1:30" ht="75" customHeight="1" x14ac:dyDescent="0.25">
      <c r="A20" s="131"/>
      <c r="B20" s="2" t="s">
        <v>203</v>
      </c>
      <c r="C20" s="3" t="s">
        <v>219</v>
      </c>
      <c r="D20" s="4" t="s">
        <v>26</v>
      </c>
      <c r="E20" s="5" t="s">
        <v>22</v>
      </c>
      <c r="F20" s="5" t="s">
        <v>21</v>
      </c>
      <c r="G20" s="18">
        <v>0.1095</v>
      </c>
      <c r="H20" s="18">
        <v>0.1275</v>
      </c>
      <c r="I20" s="17">
        <v>10698239.376695361</v>
      </c>
      <c r="J20" s="19">
        <v>10182769.08999504</v>
      </c>
      <c r="K20" s="6">
        <v>2.9845527619810103E-2</v>
      </c>
      <c r="L20" s="6">
        <v>1</v>
      </c>
      <c r="M20" s="6">
        <v>1</v>
      </c>
      <c r="N20" s="17">
        <v>14350</v>
      </c>
      <c r="O20" s="17">
        <v>13048</v>
      </c>
      <c r="P20" s="17">
        <v>13048</v>
      </c>
      <c r="Q20" s="20">
        <v>3.3841572221901415</v>
      </c>
      <c r="R20" s="21">
        <v>49086</v>
      </c>
      <c r="S20" s="7">
        <v>0.48644521457029549</v>
      </c>
      <c r="T20" s="4" t="s">
        <v>204</v>
      </c>
      <c r="U20" s="5" t="s">
        <v>146</v>
      </c>
      <c r="V20" s="5" t="s">
        <v>52</v>
      </c>
      <c r="W20" s="5" t="s">
        <v>56</v>
      </c>
      <c r="X20" s="5" t="s">
        <v>58</v>
      </c>
      <c r="Y20" s="7">
        <v>0</v>
      </c>
      <c r="Z20" s="7">
        <v>0</v>
      </c>
      <c r="AA20" s="7">
        <v>0</v>
      </c>
      <c r="AB20" s="131"/>
      <c r="AD20" s="63"/>
    </row>
    <row r="21" spans="1:30" ht="75" customHeight="1" x14ac:dyDescent="0.25">
      <c r="A21" s="131"/>
      <c r="B21" s="2" t="s">
        <v>207</v>
      </c>
      <c r="C21" s="3" t="s">
        <v>184</v>
      </c>
      <c r="D21" s="4" t="s">
        <v>17</v>
      </c>
      <c r="E21" s="5" t="s">
        <v>22</v>
      </c>
      <c r="F21" s="5" t="s">
        <v>21</v>
      </c>
      <c r="G21" s="18">
        <v>0.11249999999999999</v>
      </c>
      <c r="H21" s="18">
        <v>0.13699999999999998</v>
      </c>
      <c r="I21" s="17">
        <v>11439887.24860866</v>
      </c>
      <c r="J21" s="19">
        <v>10088621.71999998</v>
      </c>
      <c r="K21" s="6">
        <v>2.9569583237031075E-2</v>
      </c>
      <c r="L21" s="6">
        <v>0.95014955134596213</v>
      </c>
      <c r="M21" s="6">
        <v>0.31757228315054836</v>
      </c>
      <c r="N21" s="17">
        <v>40120</v>
      </c>
      <c r="O21" s="17">
        <v>40120</v>
      </c>
      <c r="P21" s="17">
        <v>12741</v>
      </c>
      <c r="Q21" s="20">
        <v>5.9035111448794027</v>
      </c>
      <c r="R21" s="21">
        <v>49629</v>
      </c>
      <c r="S21" s="7">
        <v>0.5881076845653348</v>
      </c>
      <c r="T21" s="4" t="s">
        <v>186</v>
      </c>
      <c r="U21" s="5" t="s">
        <v>18</v>
      </c>
      <c r="V21" s="5" t="s">
        <v>25</v>
      </c>
      <c r="W21" s="5" t="s">
        <v>56</v>
      </c>
      <c r="X21" s="5" t="s">
        <v>58</v>
      </c>
      <c r="Y21" s="7">
        <v>0.10901180822716164</v>
      </c>
      <c r="Z21" s="7">
        <v>0</v>
      </c>
      <c r="AA21" s="7">
        <v>0</v>
      </c>
      <c r="AB21" s="131"/>
      <c r="AD21" s="63"/>
    </row>
    <row r="22" spans="1:30" ht="75" customHeight="1" x14ac:dyDescent="0.25">
      <c r="A22" s="131"/>
      <c r="B22" s="2" t="s">
        <v>244</v>
      </c>
      <c r="C22" s="3" t="s">
        <v>205</v>
      </c>
      <c r="D22" s="4" t="s">
        <v>20</v>
      </c>
      <c r="E22" s="5" t="s">
        <v>22</v>
      </c>
      <c r="F22" s="5" t="s">
        <v>21</v>
      </c>
      <c r="G22" s="18">
        <v>0.09</v>
      </c>
      <c r="H22" s="18">
        <v>0.105</v>
      </c>
      <c r="I22" s="17">
        <v>9617387.7850712389</v>
      </c>
      <c r="J22" s="19">
        <v>8609570.5999836996</v>
      </c>
      <c r="K22" s="6">
        <v>2.5234508891003805E-2</v>
      </c>
      <c r="L22" s="6">
        <v>1</v>
      </c>
      <c r="M22" s="6">
        <v>6.2249758741761287E-2</v>
      </c>
      <c r="N22" s="17">
        <v>194812</v>
      </c>
      <c r="O22" s="17">
        <v>194812</v>
      </c>
      <c r="P22" s="17">
        <v>12127</v>
      </c>
      <c r="Q22" s="20">
        <v>4</v>
      </c>
      <c r="R22" s="21">
        <v>52489</v>
      </c>
      <c r="S22" s="7">
        <v>0.33753929781562364</v>
      </c>
      <c r="T22" s="4" t="s">
        <v>206</v>
      </c>
      <c r="U22" s="5" t="s">
        <v>146</v>
      </c>
      <c r="V22" s="5" t="s">
        <v>191</v>
      </c>
      <c r="W22" s="5" t="s">
        <v>56</v>
      </c>
      <c r="X22" s="5" t="s">
        <v>58</v>
      </c>
      <c r="Y22" s="7">
        <v>0.52813886698158785</v>
      </c>
      <c r="Z22" s="7">
        <v>0.19215402889488528</v>
      </c>
      <c r="AA22" s="7">
        <v>1.02811809317202E-2</v>
      </c>
      <c r="AB22" s="131"/>
      <c r="AD22" s="63"/>
    </row>
    <row r="23" spans="1:30" ht="75" customHeight="1" x14ac:dyDescent="0.25">
      <c r="A23" s="131"/>
      <c r="B23" s="2" t="s">
        <v>157</v>
      </c>
      <c r="C23" s="3" t="s">
        <v>156</v>
      </c>
      <c r="D23" s="4" t="s">
        <v>26</v>
      </c>
      <c r="E23" s="5" t="s">
        <v>22</v>
      </c>
      <c r="F23" s="5" t="s">
        <v>21</v>
      </c>
      <c r="G23" s="18">
        <v>0.09</v>
      </c>
      <c r="H23" s="18">
        <v>0.1125</v>
      </c>
      <c r="I23" s="17">
        <v>8594412.96698712</v>
      </c>
      <c r="J23" s="19">
        <v>8080036.6599627305</v>
      </c>
      <c r="K23" s="6">
        <v>2.3682453679612341E-2</v>
      </c>
      <c r="L23" s="6">
        <v>1</v>
      </c>
      <c r="M23" s="6">
        <v>1</v>
      </c>
      <c r="N23" s="17">
        <v>7860</v>
      </c>
      <c r="O23" s="17">
        <v>7797</v>
      </c>
      <c r="P23" s="17">
        <v>7797</v>
      </c>
      <c r="Q23" s="20">
        <v>2.0907589409544172</v>
      </c>
      <c r="R23" s="21">
        <v>46555</v>
      </c>
      <c r="S23" s="7">
        <v>0.70826348727519683</v>
      </c>
      <c r="T23" s="4" t="s">
        <v>155</v>
      </c>
      <c r="U23" s="5" t="s">
        <v>18</v>
      </c>
      <c r="V23" s="5" t="s">
        <v>52</v>
      </c>
      <c r="W23" s="5" t="s">
        <v>57</v>
      </c>
      <c r="X23" s="5" t="s">
        <v>58</v>
      </c>
      <c r="Y23" s="7">
        <v>1</v>
      </c>
      <c r="Z23" s="7">
        <v>1</v>
      </c>
      <c r="AA23" s="7">
        <v>0</v>
      </c>
      <c r="AB23" s="131"/>
      <c r="AD23" s="63"/>
    </row>
    <row r="24" spans="1:30" ht="75" customHeight="1" x14ac:dyDescent="0.25">
      <c r="A24" s="131"/>
      <c r="B24" s="2" t="s">
        <v>220</v>
      </c>
      <c r="C24" s="3" t="s">
        <v>190</v>
      </c>
      <c r="D24" s="4" t="s">
        <v>20</v>
      </c>
      <c r="E24" s="5" t="s">
        <v>22</v>
      </c>
      <c r="F24" s="5" t="s">
        <v>21</v>
      </c>
      <c r="G24" s="18">
        <v>0.11627924118440992</v>
      </c>
      <c r="H24" s="18">
        <v>0.1444881870771102</v>
      </c>
      <c r="I24" s="17">
        <v>6943145.7825717703</v>
      </c>
      <c r="J24" s="19">
        <v>6398761.8599893199</v>
      </c>
      <c r="K24" s="6">
        <v>1.875466507558719E-2</v>
      </c>
      <c r="L24" s="6">
        <v>1</v>
      </c>
      <c r="M24" s="6">
        <v>0.27418608788471804</v>
      </c>
      <c r="N24" s="17">
        <v>28475</v>
      </c>
      <c r="O24" s="17">
        <v>28105</v>
      </c>
      <c r="P24" s="17">
        <v>7706</v>
      </c>
      <c r="Q24" s="20">
        <v>3.5577840048043354</v>
      </c>
      <c r="R24" s="21">
        <v>48928</v>
      </c>
      <c r="S24" s="7">
        <v>0.22619207950251291</v>
      </c>
      <c r="T24" s="4" t="s">
        <v>208</v>
      </c>
      <c r="U24" s="5" t="s">
        <v>146</v>
      </c>
      <c r="V24" s="5" t="s">
        <v>191</v>
      </c>
      <c r="W24" s="5" t="s">
        <v>56</v>
      </c>
      <c r="X24" s="5" t="s">
        <v>58</v>
      </c>
      <c r="Y24" s="7">
        <v>0.38954843640590769</v>
      </c>
      <c r="Z24" s="7">
        <v>0</v>
      </c>
      <c r="AA24" s="7">
        <v>0</v>
      </c>
      <c r="AB24" s="131"/>
      <c r="AD24" s="63"/>
    </row>
    <row r="25" spans="1:30" ht="75" customHeight="1" x14ac:dyDescent="0.25">
      <c r="A25" s="131"/>
      <c r="B25" s="2" t="s">
        <v>233</v>
      </c>
      <c r="C25" s="3" t="s">
        <v>235</v>
      </c>
      <c r="D25" s="4" t="s">
        <v>17</v>
      </c>
      <c r="E25" s="5" t="s">
        <v>22</v>
      </c>
      <c r="F25" s="5" t="s">
        <v>21</v>
      </c>
      <c r="G25" s="18">
        <v>9.5000000000000001E-2</v>
      </c>
      <c r="H25" s="18">
        <v>0.106</v>
      </c>
      <c r="I25" s="17">
        <v>6740897.3706994206</v>
      </c>
      <c r="J25" s="19">
        <v>6378350.01995961</v>
      </c>
      <c r="K25" s="6">
        <v>1.8694838310392599E-2</v>
      </c>
      <c r="L25" s="6">
        <v>1</v>
      </c>
      <c r="M25" s="6">
        <v>1</v>
      </c>
      <c r="N25" s="17">
        <v>16250</v>
      </c>
      <c r="O25" s="17">
        <v>6399</v>
      </c>
      <c r="P25" s="17">
        <v>6399</v>
      </c>
      <c r="Q25" s="20">
        <v>5.583333333333333</v>
      </c>
      <c r="R25" s="21">
        <v>47771</v>
      </c>
      <c r="S25" s="7">
        <v>0.5</v>
      </c>
      <c r="T25" s="4" t="s">
        <v>234</v>
      </c>
      <c r="U25" s="5" t="s">
        <v>146</v>
      </c>
      <c r="V25" s="5" t="s">
        <v>52</v>
      </c>
      <c r="W25" s="5" t="s">
        <v>19</v>
      </c>
      <c r="X25" s="5" t="s">
        <v>58</v>
      </c>
      <c r="Y25" s="7">
        <v>1</v>
      </c>
      <c r="Z25" s="7">
        <v>1</v>
      </c>
      <c r="AA25" s="7">
        <v>1</v>
      </c>
      <c r="AB25" s="131"/>
      <c r="AD25" s="63"/>
    </row>
    <row r="26" spans="1:30" ht="75" customHeight="1" x14ac:dyDescent="0.25">
      <c r="A26" s="131"/>
      <c r="B26" s="2" t="s">
        <v>195</v>
      </c>
      <c r="C26" s="3" t="s">
        <v>197</v>
      </c>
      <c r="D26" s="4" t="s">
        <v>17</v>
      </c>
      <c r="E26" s="5" t="s">
        <v>22</v>
      </c>
      <c r="F26" s="5" t="s">
        <v>23</v>
      </c>
      <c r="G26" s="18">
        <v>5.6500000000000009E-2</v>
      </c>
      <c r="H26" s="18">
        <v>4.4400000000000002E-2</v>
      </c>
      <c r="I26" s="17">
        <v>4866494.3135519996</v>
      </c>
      <c r="J26" s="19">
        <v>4901964.8099999996</v>
      </c>
      <c r="K26" s="6">
        <v>1.4367577702605397E-2</v>
      </c>
      <c r="L26" s="6">
        <v>1.4878117647058824</v>
      </c>
      <c r="M26" s="6">
        <v>0.22588235294117648</v>
      </c>
      <c r="N26" s="17">
        <v>55000</v>
      </c>
      <c r="O26" s="17">
        <v>21250</v>
      </c>
      <c r="P26" s="17">
        <v>4800</v>
      </c>
      <c r="Q26" s="20">
        <v>2.7908045023383301</v>
      </c>
      <c r="R26" s="21">
        <v>46871</v>
      </c>
      <c r="S26" s="7">
        <v>0.57269601838194983</v>
      </c>
      <c r="T26" s="4" t="s">
        <v>196</v>
      </c>
      <c r="U26" s="5" t="s">
        <v>146</v>
      </c>
      <c r="V26" s="5" t="s">
        <v>52</v>
      </c>
      <c r="W26" s="5" t="s">
        <v>67</v>
      </c>
      <c r="X26" s="5" t="s">
        <v>58</v>
      </c>
      <c r="Y26" s="7">
        <v>1</v>
      </c>
      <c r="Z26" s="7">
        <v>1</v>
      </c>
      <c r="AA26" s="7">
        <v>0</v>
      </c>
      <c r="AB26" s="131"/>
      <c r="AD26" s="63"/>
    </row>
    <row r="27" spans="1:30" ht="75" customHeight="1" x14ac:dyDescent="0.25">
      <c r="A27" s="131"/>
      <c r="B27" s="2" t="s">
        <v>209</v>
      </c>
      <c r="C27" s="3" t="s">
        <v>205</v>
      </c>
      <c r="D27" s="4" t="s">
        <v>20</v>
      </c>
      <c r="E27" s="5" t="s">
        <v>22</v>
      </c>
      <c r="F27" s="5" t="s">
        <v>21</v>
      </c>
      <c r="G27" s="18">
        <v>0.115</v>
      </c>
      <c r="H27" s="18">
        <v>0.13400000000000001</v>
      </c>
      <c r="I27" s="17">
        <v>4910303.7125675203</v>
      </c>
      <c r="J27" s="19">
        <v>4361439.35998239</v>
      </c>
      <c r="K27" s="6">
        <v>1.2783306557386026E-2</v>
      </c>
      <c r="L27" s="6">
        <v>6.4583881269960548</v>
      </c>
      <c r="M27" s="6">
        <v>1</v>
      </c>
      <c r="N27" s="17">
        <v>34378</v>
      </c>
      <c r="O27" s="17">
        <v>5323</v>
      </c>
      <c r="P27" s="17">
        <v>5323</v>
      </c>
      <c r="Q27" s="20">
        <v>3.6</v>
      </c>
      <c r="R27" s="21">
        <v>53220</v>
      </c>
      <c r="S27" s="7">
        <v>0.39985743736348733</v>
      </c>
      <c r="T27" s="4" t="s">
        <v>210</v>
      </c>
      <c r="U27" s="5" t="s">
        <v>146</v>
      </c>
      <c r="V27" s="5" t="s">
        <v>191</v>
      </c>
      <c r="W27" s="5" t="s">
        <v>56</v>
      </c>
      <c r="X27" s="5" t="s">
        <v>58</v>
      </c>
      <c r="Y27" s="7">
        <v>0.52813886698158774</v>
      </c>
      <c r="Z27" s="7">
        <v>0.19215402889488528</v>
      </c>
      <c r="AA27" s="7">
        <v>1.02811809317202E-2</v>
      </c>
      <c r="AB27" s="131"/>
      <c r="AD27" s="63"/>
    </row>
    <row r="28" spans="1:30" ht="75" customHeight="1" x14ac:dyDescent="0.25">
      <c r="A28" s="131"/>
      <c r="B28" s="2" t="s">
        <v>151</v>
      </c>
      <c r="C28" s="3" t="s">
        <v>150</v>
      </c>
      <c r="D28" s="4" t="s">
        <v>26</v>
      </c>
      <c r="E28" s="5" t="s">
        <v>22</v>
      </c>
      <c r="F28" s="5" t="s">
        <v>21</v>
      </c>
      <c r="G28" s="18">
        <v>9.5000000000000001E-2</v>
      </c>
      <c r="H28" s="18">
        <v>0.1177</v>
      </c>
      <c r="I28" s="17">
        <v>3985344.5409143204</v>
      </c>
      <c r="J28" s="19">
        <v>3676657.4500123998</v>
      </c>
      <c r="K28" s="6">
        <v>1.0776222116314248E-2</v>
      </c>
      <c r="L28" s="6">
        <v>1</v>
      </c>
      <c r="M28" s="6">
        <v>1</v>
      </c>
      <c r="N28" s="17">
        <v>5292</v>
      </c>
      <c r="O28" s="17">
        <v>3176</v>
      </c>
      <c r="P28" s="17">
        <v>3176</v>
      </c>
      <c r="Q28" s="20">
        <v>3.9732250922009031</v>
      </c>
      <c r="R28" s="21">
        <v>47744</v>
      </c>
      <c r="S28" s="7">
        <v>0.43413339225646191</v>
      </c>
      <c r="T28" s="4" t="s">
        <v>149</v>
      </c>
      <c r="U28" s="5" t="s">
        <v>18</v>
      </c>
      <c r="V28" s="5" t="s">
        <v>53</v>
      </c>
      <c r="W28" s="5" t="s">
        <v>57</v>
      </c>
      <c r="X28" s="5" t="s">
        <v>58</v>
      </c>
      <c r="Y28" s="7">
        <v>1</v>
      </c>
      <c r="Z28" s="7">
        <v>1</v>
      </c>
      <c r="AA28" s="7">
        <v>0</v>
      </c>
      <c r="AB28" s="131"/>
      <c r="AD28" s="63"/>
    </row>
    <row r="29" spans="1:30" ht="75" customHeight="1" x14ac:dyDescent="0.25">
      <c r="A29" s="131"/>
      <c r="B29" s="2" t="s">
        <v>154</v>
      </c>
      <c r="C29" s="3" t="s">
        <v>153</v>
      </c>
      <c r="D29" s="4" t="s">
        <v>24</v>
      </c>
      <c r="E29" s="5" t="s">
        <v>51</v>
      </c>
      <c r="F29" s="5" t="s">
        <v>21</v>
      </c>
      <c r="G29" s="18">
        <v>9.5000000000000001E-2</v>
      </c>
      <c r="H29" s="18">
        <v>0.1125</v>
      </c>
      <c r="I29" s="17">
        <v>2633432.9949600003</v>
      </c>
      <c r="J29" s="19">
        <v>2553397.0199199999</v>
      </c>
      <c r="K29" s="6">
        <v>7.4839643920866211E-3</v>
      </c>
      <c r="L29" s="6">
        <v>1</v>
      </c>
      <c r="M29" s="6">
        <v>1</v>
      </c>
      <c r="N29" s="17">
        <v>8000</v>
      </c>
      <c r="O29" s="17">
        <v>8000</v>
      </c>
      <c r="P29" s="17">
        <v>8000</v>
      </c>
      <c r="Q29" s="20">
        <v>2.1577183704829985</v>
      </c>
      <c r="R29" s="21">
        <v>48515</v>
      </c>
      <c r="S29" s="7">
        <v>0.28467908602013381</v>
      </c>
      <c r="T29" s="4" t="s">
        <v>152</v>
      </c>
      <c r="U29" s="5" t="s">
        <v>18</v>
      </c>
      <c r="V29" s="5" t="s">
        <v>25</v>
      </c>
      <c r="W29" s="5" t="s">
        <v>56</v>
      </c>
      <c r="X29" s="5" t="s">
        <v>58</v>
      </c>
      <c r="Y29" s="7">
        <v>1</v>
      </c>
      <c r="Z29" s="7">
        <v>0</v>
      </c>
      <c r="AA29" s="7">
        <v>0</v>
      </c>
      <c r="AB29" s="131"/>
      <c r="AD29" s="63"/>
    </row>
    <row r="30" spans="1:30" ht="75" customHeight="1" x14ac:dyDescent="0.25">
      <c r="A30" s="131"/>
      <c r="B30" s="2" t="s">
        <v>211</v>
      </c>
      <c r="C30" s="3" t="s">
        <v>184</v>
      </c>
      <c r="D30" s="4" t="s">
        <v>17</v>
      </c>
      <c r="E30" s="5" t="s">
        <v>22</v>
      </c>
      <c r="F30" s="5" t="s">
        <v>21</v>
      </c>
      <c r="G30" s="18">
        <v>0.1</v>
      </c>
      <c r="H30" s="18">
        <v>0.1231</v>
      </c>
      <c r="I30" s="17">
        <v>2650313.9249662999</v>
      </c>
      <c r="J30" s="19">
        <v>2432510.36000928</v>
      </c>
      <c r="K30" s="6">
        <v>7.1296475932527067E-3</v>
      </c>
      <c r="L30" s="6">
        <v>0.34052388289676427</v>
      </c>
      <c r="M30" s="6">
        <v>9.5192604006163334E-2</v>
      </c>
      <c r="N30" s="17">
        <v>32450</v>
      </c>
      <c r="O30" s="17">
        <v>32450</v>
      </c>
      <c r="P30" s="17">
        <v>3089</v>
      </c>
      <c r="Q30" s="20">
        <v>4.9264407829211221</v>
      </c>
      <c r="R30" s="21">
        <v>48869</v>
      </c>
      <c r="S30" s="7">
        <v>0.5881076845653348</v>
      </c>
      <c r="T30" s="4" t="s">
        <v>185</v>
      </c>
      <c r="U30" s="5" t="s">
        <v>18</v>
      </c>
      <c r="V30" s="5" t="s">
        <v>25</v>
      </c>
      <c r="W30" s="5" t="s">
        <v>56</v>
      </c>
      <c r="X30" s="5" t="s">
        <v>58</v>
      </c>
      <c r="Y30" s="7">
        <v>0.10901180822716161</v>
      </c>
      <c r="Z30" s="7">
        <v>0</v>
      </c>
      <c r="AA30" s="7">
        <v>0</v>
      </c>
      <c r="AB30" s="131"/>
      <c r="AD30" s="63"/>
    </row>
    <row r="31" spans="1:30" ht="75" customHeight="1" x14ac:dyDescent="0.25">
      <c r="A31" s="131"/>
      <c r="B31" s="2" t="s">
        <v>221</v>
      </c>
      <c r="C31" s="3" t="s">
        <v>217</v>
      </c>
      <c r="D31" s="4" t="s">
        <v>24</v>
      </c>
      <c r="E31" s="5" t="s">
        <v>22</v>
      </c>
      <c r="F31" s="5" t="s">
        <v>23</v>
      </c>
      <c r="G31" s="18">
        <v>0.06</v>
      </c>
      <c r="H31" s="18">
        <v>0.06</v>
      </c>
      <c r="I31" s="17">
        <v>500361.04582500021</v>
      </c>
      <c r="J31" s="19">
        <v>500361.04999500001</v>
      </c>
      <c r="K31" s="6">
        <v>1.4665499537032348E-3</v>
      </c>
      <c r="L31" s="6">
        <v>1</v>
      </c>
      <c r="M31" s="6">
        <v>0.16666666666666666</v>
      </c>
      <c r="N31" s="17">
        <v>9000</v>
      </c>
      <c r="O31" s="17">
        <v>9000</v>
      </c>
      <c r="P31" s="17">
        <v>1500</v>
      </c>
      <c r="Q31" s="20">
        <v>0.18872458733294842</v>
      </c>
      <c r="R31" s="21">
        <v>45835</v>
      </c>
      <c r="S31" s="7">
        <v>0.8</v>
      </c>
      <c r="T31" s="4" t="s">
        <v>222</v>
      </c>
      <c r="U31" s="5" t="s">
        <v>146</v>
      </c>
      <c r="V31" s="5" t="s">
        <v>52</v>
      </c>
      <c r="W31" s="5" t="s">
        <v>67</v>
      </c>
      <c r="X31" s="5" t="s">
        <v>58</v>
      </c>
      <c r="Y31" s="7">
        <v>1</v>
      </c>
      <c r="Z31" s="7">
        <v>1</v>
      </c>
      <c r="AA31" s="7">
        <v>1</v>
      </c>
      <c r="AB31" s="131"/>
      <c r="AD31" s="63"/>
    </row>
    <row r="32" spans="1:30" s="133" customFormat="1" ht="18.75" customHeight="1" x14ac:dyDescent="0.25">
      <c r="A32" s="131"/>
      <c r="B32" s="141"/>
      <c r="C32" s="131"/>
      <c r="D32" s="131"/>
      <c r="E32" s="131"/>
      <c r="F32" s="131"/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D32" s="142"/>
    </row>
  </sheetData>
  <autoFilter ref="B6:AA32" xr:uid="{AE838F93-8894-4C33-8792-B356FB233D76}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35F28-0365-454B-9078-8BFECE4B75D5}">
  <sheetPr>
    <tabColor theme="1" tint="0.79998168889431442"/>
  </sheetPr>
  <dimension ref="A1:W34"/>
  <sheetViews>
    <sheetView workbookViewId="0"/>
  </sheetViews>
  <sheetFormatPr defaultColWidth="0" defaultRowHeight="15" zeroHeight="1" x14ac:dyDescent="0.25"/>
  <cols>
    <col min="1" max="1" width="4.140625" customWidth="1"/>
    <col min="2" max="2" width="31.7109375" customWidth="1"/>
    <col min="3" max="3" width="16" customWidth="1"/>
    <col min="4" max="4" width="31.7109375" customWidth="1"/>
    <col min="5" max="5" width="14" customWidth="1"/>
    <col min="6" max="7" width="18.42578125" customWidth="1"/>
    <col min="8" max="9" width="21.85546875" customWidth="1"/>
    <col min="10" max="10" width="13.42578125" customWidth="1"/>
    <col min="11" max="11" width="20.28515625" customWidth="1"/>
    <col min="12" max="12" width="22" customWidth="1"/>
    <col min="13" max="13" width="20.28515625" customWidth="1"/>
    <col min="14" max="14" width="16.7109375" customWidth="1"/>
    <col min="15" max="15" width="16.28515625" customWidth="1"/>
    <col min="16" max="16" width="6.85546875" customWidth="1"/>
    <col min="17" max="23" width="0" hidden="1" customWidth="1"/>
    <col min="24" max="16384" width="9.140625" hidden="1"/>
  </cols>
  <sheetData>
    <row r="1" spans="1:16" x14ac:dyDescent="0.25">
      <c r="A1" s="155"/>
      <c r="B1" s="144"/>
      <c r="C1" s="144"/>
      <c r="D1" s="144"/>
      <c r="E1" s="145"/>
      <c r="F1" s="146"/>
      <c r="G1" s="146"/>
      <c r="H1" s="147"/>
      <c r="I1" s="147"/>
      <c r="J1" s="146"/>
      <c r="K1" s="148"/>
      <c r="L1" s="148"/>
      <c r="M1" s="148"/>
      <c r="N1" s="149"/>
      <c r="O1" s="150"/>
      <c r="P1" s="155"/>
    </row>
    <row r="2" spans="1:16" ht="15.75" x14ac:dyDescent="0.3">
      <c r="A2" s="155"/>
      <c r="B2" s="143" t="s">
        <v>160</v>
      </c>
      <c r="C2" s="144"/>
      <c r="D2" s="144"/>
      <c r="E2" s="145"/>
      <c r="F2" s="146"/>
      <c r="G2" s="146"/>
      <c r="H2" s="147"/>
      <c r="I2" s="147"/>
      <c r="J2" s="146"/>
      <c r="K2" s="148"/>
      <c r="L2" s="148"/>
      <c r="M2" s="148"/>
      <c r="N2" s="149"/>
      <c r="O2" s="150"/>
      <c r="P2" s="155"/>
    </row>
    <row r="3" spans="1:16" ht="15.75" x14ac:dyDescent="0.3">
      <c r="A3" s="155"/>
      <c r="B3" s="143" t="s">
        <v>223</v>
      </c>
      <c r="C3" s="144"/>
      <c r="D3" s="144"/>
      <c r="E3" s="145"/>
      <c r="F3" s="146"/>
      <c r="G3" s="146"/>
      <c r="H3" s="147"/>
      <c r="I3" s="147"/>
      <c r="J3" s="146"/>
      <c r="K3" s="148"/>
      <c r="L3" s="148"/>
      <c r="M3" s="148"/>
      <c r="N3" s="149"/>
      <c r="O3" s="150"/>
      <c r="P3" s="155"/>
    </row>
    <row r="4" spans="1:16" ht="15.75" x14ac:dyDescent="0.3">
      <c r="A4" s="155"/>
      <c r="B4" s="151">
        <f>'Carteira de CRIs'!B4</f>
        <v>45689</v>
      </c>
      <c r="C4" s="144"/>
      <c r="D4" s="144"/>
      <c r="E4" s="145"/>
      <c r="F4" s="146"/>
      <c r="G4" s="146"/>
      <c r="H4" s="147"/>
      <c r="I4" s="147"/>
      <c r="J4" s="146"/>
      <c r="K4" s="148"/>
      <c r="L4" s="148"/>
      <c r="M4" s="148"/>
      <c r="N4" s="149"/>
      <c r="O4" s="150"/>
      <c r="P4" s="155"/>
    </row>
    <row r="5" spans="1:16" x14ac:dyDescent="0.25">
      <c r="A5" s="155"/>
      <c r="B5" s="144"/>
      <c r="C5" s="144"/>
      <c r="D5" s="144"/>
      <c r="E5" s="145"/>
      <c r="F5" s="146"/>
      <c r="G5" s="146"/>
      <c r="H5" s="147"/>
      <c r="I5" s="147"/>
      <c r="J5" s="146"/>
      <c r="K5" s="148"/>
      <c r="L5" s="148"/>
      <c r="M5" s="148"/>
      <c r="N5" s="149"/>
      <c r="O5" s="150"/>
      <c r="P5" s="155"/>
    </row>
    <row r="6" spans="1:16" ht="45" customHeight="1" x14ac:dyDescent="0.25">
      <c r="A6" s="155"/>
      <c r="B6" s="157" t="s">
        <v>1</v>
      </c>
      <c r="C6" s="157" t="s">
        <v>9</v>
      </c>
      <c r="D6" s="157" t="s">
        <v>224</v>
      </c>
      <c r="E6" s="158" t="s">
        <v>6</v>
      </c>
      <c r="F6" s="152" t="s">
        <v>225</v>
      </c>
      <c r="G6" s="153" t="s">
        <v>54</v>
      </c>
      <c r="H6" s="153" t="s">
        <v>60</v>
      </c>
      <c r="I6" s="158" t="s">
        <v>55</v>
      </c>
      <c r="J6" s="158" t="s">
        <v>5</v>
      </c>
      <c r="K6" s="158" t="s">
        <v>63</v>
      </c>
      <c r="L6" s="158" t="s">
        <v>64</v>
      </c>
      <c r="M6" s="158" t="s">
        <v>65</v>
      </c>
      <c r="N6" s="154" t="s">
        <v>66</v>
      </c>
      <c r="O6" s="158" t="s">
        <v>7</v>
      </c>
      <c r="P6" s="155"/>
    </row>
    <row r="7" spans="1:16" x14ac:dyDescent="0.25">
      <c r="A7" s="155"/>
      <c r="B7" s="159" t="s">
        <v>143</v>
      </c>
      <c r="C7" s="159" t="s">
        <v>145</v>
      </c>
      <c r="D7" s="159" t="s">
        <v>143</v>
      </c>
      <c r="E7" s="160" t="s">
        <v>21</v>
      </c>
      <c r="F7" s="161">
        <v>0.1021</v>
      </c>
      <c r="G7" s="161">
        <v>0.11650000000000001</v>
      </c>
      <c r="H7" s="162">
        <v>28128254.255281281</v>
      </c>
      <c r="I7" s="162">
        <v>27898265.239683319</v>
      </c>
      <c r="J7" s="161">
        <v>8.1769353541941328E-2</v>
      </c>
      <c r="K7" s="163">
        <v>150000</v>
      </c>
      <c r="L7" s="163">
        <v>139502</v>
      </c>
      <c r="M7" s="163">
        <v>28102</v>
      </c>
      <c r="N7" s="180">
        <v>0.54309997441493596</v>
      </c>
      <c r="O7" s="164">
        <v>46017</v>
      </c>
      <c r="P7" s="155"/>
    </row>
    <row r="8" spans="1:16" x14ac:dyDescent="0.25">
      <c r="A8" s="155"/>
      <c r="B8" s="165" t="s">
        <v>238</v>
      </c>
      <c r="C8" s="165" t="s">
        <v>240</v>
      </c>
      <c r="D8" s="165" t="s">
        <v>238</v>
      </c>
      <c r="E8" s="166" t="s">
        <v>21</v>
      </c>
      <c r="F8" s="167">
        <v>9.9000000000000005E-2</v>
      </c>
      <c r="G8" s="167">
        <v>9.9000000000000005E-2</v>
      </c>
      <c r="H8" s="168">
        <v>23141848.135060001</v>
      </c>
      <c r="I8" s="168">
        <v>23075101.509920001</v>
      </c>
      <c r="J8" s="167">
        <v>6.7632740500901872E-2</v>
      </c>
      <c r="K8" s="169">
        <v>43000</v>
      </c>
      <c r="L8" s="169">
        <v>43000</v>
      </c>
      <c r="M8" s="169">
        <v>23000</v>
      </c>
      <c r="N8" s="181">
        <v>4.1091653408459354</v>
      </c>
      <c r="O8" s="170">
        <v>49322</v>
      </c>
      <c r="P8" s="155"/>
    </row>
    <row r="9" spans="1:16" x14ac:dyDescent="0.25">
      <c r="A9" s="155"/>
      <c r="B9" s="159" t="s">
        <v>241</v>
      </c>
      <c r="C9" s="159" t="s">
        <v>243</v>
      </c>
      <c r="D9" s="159" t="s">
        <v>241</v>
      </c>
      <c r="E9" s="160" t="s">
        <v>21</v>
      </c>
      <c r="F9" s="161">
        <v>0.105</v>
      </c>
      <c r="G9" s="161">
        <v>0.1069</v>
      </c>
      <c r="H9" s="162">
        <v>21449372.72140605</v>
      </c>
      <c r="I9" s="162">
        <v>21306871.249975</v>
      </c>
      <c r="J9" s="161">
        <v>6.245008688330931E-2</v>
      </c>
      <c r="K9" s="163">
        <v>100000</v>
      </c>
      <c r="L9" s="163">
        <v>44556</v>
      </c>
      <c r="M9" s="163">
        <v>20155</v>
      </c>
      <c r="N9" s="180">
        <v>7.6900538659226259</v>
      </c>
      <c r="O9" s="164">
        <v>50910</v>
      </c>
      <c r="P9" s="155"/>
    </row>
    <row r="10" spans="1:16" x14ac:dyDescent="0.25">
      <c r="A10" s="155"/>
      <c r="B10" s="165" t="s">
        <v>168</v>
      </c>
      <c r="C10" s="165" t="s">
        <v>171</v>
      </c>
      <c r="D10" s="165" t="s">
        <v>168</v>
      </c>
      <c r="E10" s="166" t="s">
        <v>21</v>
      </c>
      <c r="F10" s="167">
        <v>9.8000000000000004E-2</v>
      </c>
      <c r="G10" s="167">
        <v>0.12189999999999999</v>
      </c>
      <c r="H10" s="168">
        <v>21567699.27942504</v>
      </c>
      <c r="I10" s="168">
        <v>21083907.579794429</v>
      </c>
      <c r="J10" s="167">
        <v>6.1796584057331773E-2</v>
      </c>
      <c r="K10" s="169">
        <v>40000</v>
      </c>
      <c r="L10" s="169">
        <v>40000</v>
      </c>
      <c r="M10" s="169">
        <v>29659</v>
      </c>
      <c r="N10" s="181">
        <v>1.0146321520516965</v>
      </c>
      <c r="O10" s="170">
        <v>46197</v>
      </c>
      <c r="P10" s="155"/>
    </row>
    <row r="11" spans="1:16" x14ac:dyDescent="0.25">
      <c r="A11" s="155"/>
      <c r="B11" s="159" t="s">
        <v>193</v>
      </c>
      <c r="C11" s="159" t="s">
        <v>194</v>
      </c>
      <c r="D11" s="159" t="s">
        <v>193</v>
      </c>
      <c r="E11" s="160" t="s">
        <v>21</v>
      </c>
      <c r="F11" s="161">
        <v>0.11</v>
      </c>
      <c r="G11" s="161">
        <v>0.1241</v>
      </c>
      <c r="H11" s="162">
        <v>22064489.139068481</v>
      </c>
      <c r="I11" s="162">
        <v>21000300.160020161</v>
      </c>
      <c r="J11" s="161">
        <v>6.1551532094153531E-2</v>
      </c>
      <c r="K11" s="163">
        <v>21250</v>
      </c>
      <c r="L11" s="163">
        <v>21250</v>
      </c>
      <c r="M11" s="163">
        <v>21136</v>
      </c>
      <c r="N11" s="180">
        <v>2.7038848330235994</v>
      </c>
      <c r="O11" s="164">
        <v>46871</v>
      </c>
      <c r="P11" s="155"/>
    </row>
    <row r="12" spans="1:16" x14ac:dyDescent="0.25">
      <c r="A12" s="155"/>
      <c r="B12" s="165" t="s">
        <v>198</v>
      </c>
      <c r="C12" s="165" t="s">
        <v>174</v>
      </c>
      <c r="D12" s="165" t="s">
        <v>198</v>
      </c>
      <c r="E12" s="166" t="s">
        <v>21</v>
      </c>
      <c r="F12" s="167">
        <v>0.124</v>
      </c>
      <c r="G12" s="167">
        <v>0.12570000000000001</v>
      </c>
      <c r="H12" s="168">
        <v>19261235.966230441</v>
      </c>
      <c r="I12" s="168">
        <v>19104602.940032218</v>
      </c>
      <c r="J12" s="167">
        <v>5.5995274926981045E-2</v>
      </c>
      <c r="K12" s="169">
        <v>81000</v>
      </c>
      <c r="L12" s="169">
        <v>81000</v>
      </c>
      <c r="M12" s="169">
        <v>21918</v>
      </c>
      <c r="N12" s="181">
        <v>5.3064965689391821</v>
      </c>
      <c r="O12" s="170">
        <v>49536</v>
      </c>
      <c r="P12" s="155"/>
    </row>
    <row r="13" spans="1:16" x14ac:dyDescent="0.25">
      <c r="A13" s="155"/>
      <c r="B13" s="159" t="s">
        <v>213</v>
      </c>
      <c r="C13" s="159" t="s">
        <v>214</v>
      </c>
      <c r="D13" s="159" t="s">
        <v>213</v>
      </c>
      <c r="E13" s="160" t="s">
        <v>21</v>
      </c>
      <c r="F13" s="161">
        <v>8.2500000000000004E-2</v>
      </c>
      <c r="G13" s="161">
        <v>9.6300000000000011E-2</v>
      </c>
      <c r="H13" s="162">
        <v>18519250.619932499</v>
      </c>
      <c r="I13" s="162">
        <v>17721505.400001001</v>
      </c>
      <c r="J13" s="161">
        <v>5.1941438935310412E-2</v>
      </c>
      <c r="K13" s="163">
        <v>140000</v>
      </c>
      <c r="L13" s="163">
        <v>114500</v>
      </c>
      <c r="M13" s="163">
        <v>17925</v>
      </c>
      <c r="N13" s="180">
        <v>2.2747327047383443</v>
      </c>
      <c r="O13" s="164">
        <v>47576</v>
      </c>
      <c r="P13" s="155"/>
    </row>
    <row r="14" spans="1:16" x14ac:dyDescent="0.25">
      <c r="A14" s="155"/>
      <c r="B14" s="165" t="s">
        <v>187</v>
      </c>
      <c r="C14" s="165" t="s">
        <v>189</v>
      </c>
      <c r="D14" s="165" t="s">
        <v>187</v>
      </c>
      <c r="E14" s="166" t="s">
        <v>21</v>
      </c>
      <c r="F14" s="167">
        <v>9.5000000000000001E-2</v>
      </c>
      <c r="G14" s="167">
        <v>0.1042</v>
      </c>
      <c r="H14" s="168">
        <v>18076716.970800001</v>
      </c>
      <c r="I14" s="168">
        <v>17516159.489999998</v>
      </c>
      <c r="J14" s="167">
        <v>5.1339573472744676E-2</v>
      </c>
      <c r="K14" s="169">
        <v>160000</v>
      </c>
      <c r="L14" s="169">
        <v>160000</v>
      </c>
      <c r="M14" s="169">
        <v>20000</v>
      </c>
      <c r="N14" s="181">
        <v>3.7874004961214682</v>
      </c>
      <c r="O14" s="170">
        <v>48928</v>
      </c>
      <c r="P14" s="155"/>
    </row>
    <row r="15" spans="1:16" x14ac:dyDescent="0.25">
      <c r="A15" s="155"/>
      <c r="B15" s="159" t="s">
        <v>159</v>
      </c>
      <c r="C15" s="159" t="s">
        <v>158</v>
      </c>
      <c r="D15" s="159" t="s">
        <v>159</v>
      </c>
      <c r="E15" s="160" t="s">
        <v>21</v>
      </c>
      <c r="F15" s="161">
        <v>8.5999999999999993E-2</v>
      </c>
      <c r="G15" s="161">
        <v>0.1137</v>
      </c>
      <c r="H15" s="162">
        <v>17993727.885436203</v>
      </c>
      <c r="I15" s="162">
        <v>16792064.149981</v>
      </c>
      <c r="J15" s="161">
        <v>4.921726201906098E-2</v>
      </c>
      <c r="K15" s="163">
        <v>16340</v>
      </c>
      <c r="L15" s="163">
        <v>16340</v>
      </c>
      <c r="M15" s="163">
        <v>16340</v>
      </c>
      <c r="N15" s="180">
        <v>2.1064947119802166</v>
      </c>
      <c r="O15" s="164">
        <v>46555</v>
      </c>
      <c r="P15" s="155"/>
    </row>
    <row r="16" spans="1:16" x14ac:dyDescent="0.25">
      <c r="A16" s="155"/>
      <c r="B16" s="165" t="s">
        <v>216</v>
      </c>
      <c r="C16" s="171" t="s">
        <v>226</v>
      </c>
      <c r="D16" s="165" t="s">
        <v>216</v>
      </c>
      <c r="E16" s="166" t="s">
        <v>21</v>
      </c>
      <c r="F16" s="167">
        <v>0.125</v>
      </c>
      <c r="G16" s="167">
        <v>9.7200000000000009E-2</v>
      </c>
      <c r="H16" s="168">
        <v>13944262.903646</v>
      </c>
      <c r="I16" s="168">
        <v>13798172.689985001</v>
      </c>
      <c r="J16" s="167">
        <v>4.0442215715809526E-2</v>
      </c>
      <c r="K16" s="169">
        <v>110000</v>
      </c>
      <c r="L16" s="169">
        <v>90400</v>
      </c>
      <c r="M16" s="169">
        <v>12700</v>
      </c>
      <c r="N16" s="181">
        <v>5.2738095238095237</v>
      </c>
      <c r="O16" s="170">
        <v>47661</v>
      </c>
      <c r="P16" s="155"/>
    </row>
    <row r="17" spans="1:16" x14ac:dyDescent="0.25">
      <c r="A17" s="155"/>
      <c r="B17" s="159" t="s">
        <v>227</v>
      </c>
      <c r="C17" s="159" t="s">
        <v>228</v>
      </c>
      <c r="D17" s="159" t="s">
        <v>216</v>
      </c>
      <c r="E17" s="160" t="s">
        <v>21</v>
      </c>
      <c r="F17" s="161">
        <v>0.125</v>
      </c>
      <c r="G17" s="161">
        <v>9.6300000000000011E-2</v>
      </c>
      <c r="H17" s="162">
        <v>1937277.3343376999</v>
      </c>
      <c r="I17" s="162">
        <v>1928631.6799978199</v>
      </c>
      <c r="J17" s="161">
        <v>5.6527875242080869E-3</v>
      </c>
      <c r="K17" s="163">
        <v>16000</v>
      </c>
      <c r="L17" s="163">
        <v>12800</v>
      </c>
      <c r="M17" s="163">
        <v>1798</v>
      </c>
      <c r="N17" s="180">
        <v>5.2738095238095237</v>
      </c>
      <c r="O17" s="164">
        <v>45835</v>
      </c>
      <c r="P17" s="155"/>
    </row>
    <row r="18" spans="1:16" x14ac:dyDescent="0.25">
      <c r="A18" s="155"/>
      <c r="B18" s="165" t="s">
        <v>68</v>
      </c>
      <c r="C18" s="171" t="s">
        <v>71</v>
      </c>
      <c r="D18" s="165" t="s">
        <v>68</v>
      </c>
      <c r="E18" s="166" t="s">
        <v>21</v>
      </c>
      <c r="F18" s="167">
        <v>9.5000000000000001E-2</v>
      </c>
      <c r="G18" s="167">
        <v>0.11779999999999999</v>
      </c>
      <c r="H18" s="168">
        <v>15711106.398798719</v>
      </c>
      <c r="I18" s="168">
        <v>14801562.379968001</v>
      </c>
      <c r="J18" s="167">
        <v>4.3383134285321631E-2</v>
      </c>
      <c r="K18" s="169">
        <v>160000</v>
      </c>
      <c r="L18" s="169">
        <v>160000</v>
      </c>
      <c r="M18" s="169">
        <v>15288</v>
      </c>
      <c r="N18" s="181">
        <v>3.3529441371711637</v>
      </c>
      <c r="O18" s="170">
        <v>48442</v>
      </c>
      <c r="P18" s="155"/>
    </row>
    <row r="19" spans="1:16" x14ac:dyDescent="0.25">
      <c r="A19" s="155"/>
      <c r="B19" s="159" t="s">
        <v>199</v>
      </c>
      <c r="C19" s="159" t="s">
        <v>201</v>
      </c>
      <c r="D19" s="159" t="s">
        <v>199</v>
      </c>
      <c r="E19" s="160" t="s">
        <v>23</v>
      </c>
      <c r="F19" s="161">
        <v>5.1799999999999999E-2</v>
      </c>
      <c r="G19" s="161">
        <v>0.05</v>
      </c>
      <c r="H19" s="162">
        <v>12485971.096515</v>
      </c>
      <c r="I19" s="162">
        <v>12486306.490049681</v>
      </c>
      <c r="J19" s="161">
        <v>3.6597157602674603E-2</v>
      </c>
      <c r="K19" s="163">
        <v>120000</v>
      </c>
      <c r="L19" s="163">
        <v>15000</v>
      </c>
      <c r="M19" s="163">
        <v>12367</v>
      </c>
      <c r="N19" s="180">
        <v>3.4985445672148012</v>
      </c>
      <c r="O19" s="164">
        <v>47217</v>
      </c>
      <c r="P19" s="155"/>
    </row>
    <row r="20" spans="1:16" x14ac:dyDescent="0.25">
      <c r="A20" s="155"/>
      <c r="B20" s="165" t="s">
        <v>179</v>
      </c>
      <c r="C20" s="165" t="s">
        <v>182</v>
      </c>
      <c r="D20" s="165" t="s">
        <v>179</v>
      </c>
      <c r="E20" s="166" t="s">
        <v>21</v>
      </c>
      <c r="F20" s="167">
        <v>0.105</v>
      </c>
      <c r="G20" s="167">
        <v>0.10439999999999999</v>
      </c>
      <c r="H20" s="168">
        <v>11539463.972129429</v>
      </c>
      <c r="I20" s="168">
        <v>10901649.47004075</v>
      </c>
      <c r="J20" s="167">
        <v>3.1952554112149457E-2</v>
      </c>
      <c r="K20" s="169">
        <v>107474</v>
      </c>
      <c r="L20" s="169">
        <v>107474</v>
      </c>
      <c r="M20" s="169">
        <v>10749</v>
      </c>
      <c r="N20" s="181">
        <v>4.3902358875941667</v>
      </c>
      <c r="O20" s="170">
        <v>49527</v>
      </c>
      <c r="P20" s="155"/>
    </row>
    <row r="21" spans="1:16" x14ac:dyDescent="0.25">
      <c r="A21" s="155"/>
      <c r="B21" s="159" t="s">
        <v>203</v>
      </c>
      <c r="C21" s="159" t="s">
        <v>204</v>
      </c>
      <c r="D21" s="159" t="s">
        <v>203</v>
      </c>
      <c r="E21" s="160" t="s">
        <v>21</v>
      </c>
      <c r="F21" s="161">
        <v>0.1095</v>
      </c>
      <c r="G21" s="161">
        <v>0.1275</v>
      </c>
      <c r="H21" s="162">
        <v>10698239.376695361</v>
      </c>
      <c r="I21" s="162">
        <v>10182769.08999504</v>
      </c>
      <c r="J21" s="161">
        <v>2.9845527619810103E-2</v>
      </c>
      <c r="K21" s="163">
        <v>14350</v>
      </c>
      <c r="L21" s="163">
        <v>13048</v>
      </c>
      <c r="M21" s="163">
        <v>13048</v>
      </c>
      <c r="N21" s="180">
        <v>3.384157222190141</v>
      </c>
      <c r="O21" s="164">
        <v>49086</v>
      </c>
      <c r="P21" s="155"/>
    </row>
    <row r="22" spans="1:16" x14ac:dyDescent="0.25">
      <c r="A22" s="155"/>
      <c r="B22" s="165" t="s">
        <v>207</v>
      </c>
      <c r="C22" s="165" t="s">
        <v>186</v>
      </c>
      <c r="D22" s="165" t="s">
        <v>207</v>
      </c>
      <c r="E22" s="166" t="s">
        <v>21</v>
      </c>
      <c r="F22" s="167">
        <v>0.1125</v>
      </c>
      <c r="G22" s="167">
        <v>0.13699999999999998</v>
      </c>
      <c r="H22" s="168">
        <v>11439887.24860866</v>
      </c>
      <c r="I22" s="168">
        <v>10088621.71999998</v>
      </c>
      <c r="J22" s="167">
        <v>2.9569583237031075E-2</v>
      </c>
      <c r="K22" s="169">
        <v>40120</v>
      </c>
      <c r="L22" s="169">
        <v>40120</v>
      </c>
      <c r="M22" s="169">
        <v>12741</v>
      </c>
      <c r="N22" s="181">
        <v>5.9035111448794027</v>
      </c>
      <c r="O22" s="170">
        <v>49629</v>
      </c>
      <c r="P22" s="155"/>
    </row>
    <row r="23" spans="1:16" x14ac:dyDescent="0.25">
      <c r="A23" s="155"/>
      <c r="B23" s="159" t="s">
        <v>245</v>
      </c>
      <c r="C23" s="159" t="s">
        <v>206</v>
      </c>
      <c r="D23" s="159" t="s">
        <v>244</v>
      </c>
      <c r="E23" s="160" t="s">
        <v>21</v>
      </c>
      <c r="F23" s="161">
        <v>0.09</v>
      </c>
      <c r="G23" s="161">
        <v>0.105</v>
      </c>
      <c r="H23" s="162">
        <v>9617387.7850712389</v>
      </c>
      <c r="I23" s="162">
        <v>8609570.5999836996</v>
      </c>
      <c r="J23" s="161">
        <v>2.5234508891003805E-2</v>
      </c>
      <c r="K23" s="163">
        <v>12420</v>
      </c>
      <c r="L23" s="163">
        <v>12420</v>
      </c>
      <c r="M23" s="163">
        <v>12127</v>
      </c>
      <c r="N23" s="180">
        <v>4</v>
      </c>
      <c r="O23" s="164">
        <v>53220</v>
      </c>
      <c r="P23" s="155"/>
    </row>
    <row r="24" spans="1:16" x14ac:dyDescent="0.25">
      <c r="A24" s="155"/>
      <c r="B24" s="165" t="s">
        <v>157</v>
      </c>
      <c r="C24" s="165" t="s">
        <v>155</v>
      </c>
      <c r="D24" s="165" t="s">
        <v>157</v>
      </c>
      <c r="E24" s="166" t="s">
        <v>21</v>
      </c>
      <c r="F24" s="167">
        <v>0.09</v>
      </c>
      <c r="G24" s="167">
        <v>0.1125</v>
      </c>
      <c r="H24" s="168">
        <v>8594412.96698712</v>
      </c>
      <c r="I24" s="168">
        <v>8080036.6599627305</v>
      </c>
      <c r="J24" s="167">
        <v>2.3682453679612341E-2</v>
      </c>
      <c r="K24" s="169">
        <v>7860</v>
      </c>
      <c r="L24" s="169">
        <v>7797</v>
      </c>
      <c r="M24" s="169">
        <v>7797</v>
      </c>
      <c r="N24" s="181">
        <v>2.0907589409544172</v>
      </c>
      <c r="O24" s="170">
        <v>46555</v>
      </c>
      <c r="P24" s="155"/>
    </row>
    <row r="25" spans="1:16" x14ac:dyDescent="0.25">
      <c r="A25" s="155"/>
      <c r="B25" s="159" t="s">
        <v>230</v>
      </c>
      <c r="C25" s="159" t="s">
        <v>231</v>
      </c>
      <c r="D25" s="159" t="s">
        <v>220</v>
      </c>
      <c r="E25" s="160" t="s">
        <v>21</v>
      </c>
      <c r="F25" s="161">
        <v>0.14299999999999999</v>
      </c>
      <c r="G25" s="161">
        <v>0.17190000000000003</v>
      </c>
      <c r="H25" s="162">
        <v>3722501.9977912703</v>
      </c>
      <c r="I25" s="162">
        <v>3450834.7500036098</v>
      </c>
      <c r="J25" s="161">
        <v>1.011433952124347E-2</v>
      </c>
      <c r="K25" s="163">
        <v>14237</v>
      </c>
      <c r="L25" s="163">
        <v>14052</v>
      </c>
      <c r="M25" s="163">
        <v>3853</v>
      </c>
      <c r="N25" s="180">
        <v>3.3350262732204743</v>
      </c>
      <c r="O25" s="164">
        <v>48928</v>
      </c>
      <c r="P25" s="155"/>
    </row>
    <row r="26" spans="1:16" x14ac:dyDescent="0.25">
      <c r="A26" s="155"/>
      <c r="B26" s="165" t="s">
        <v>220</v>
      </c>
      <c r="C26" s="165" t="s">
        <v>232</v>
      </c>
      <c r="D26" s="165" t="s">
        <v>220</v>
      </c>
      <c r="E26" s="166" t="s">
        <v>21</v>
      </c>
      <c r="F26" s="167">
        <v>8.5000000000000006E-2</v>
      </c>
      <c r="G26" s="167">
        <v>0.1124</v>
      </c>
      <c r="H26" s="168">
        <v>3220643.7847805</v>
      </c>
      <c r="I26" s="168">
        <v>2947927.1099857101</v>
      </c>
      <c r="J26" s="167">
        <v>8.6403255543437193E-3</v>
      </c>
      <c r="K26" s="169">
        <v>14238</v>
      </c>
      <c r="L26" s="169">
        <v>14053</v>
      </c>
      <c r="M26" s="169">
        <v>3853</v>
      </c>
      <c r="N26" s="181">
        <v>3.81854354610293</v>
      </c>
      <c r="O26" s="170">
        <v>48928</v>
      </c>
      <c r="P26" s="155"/>
    </row>
    <row r="27" spans="1:16" x14ac:dyDescent="0.25">
      <c r="A27" s="155"/>
      <c r="B27" s="159" t="s">
        <v>233</v>
      </c>
      <c r="C27" s="159" t="s">
        <v>234</v>
      </c>
      <c r="D27" s="159" t="s">
        <v>233</v>
      </c>
      <c r="E27" s="160" t="s">
        <v>21</v>
      </c>
      <c r="F27" s="161">
        <v>9.5000000000000001E-2</v>
      </c>
      <c r="G27" s="161">
        <v>0.106</v>
      </c>
      <c r="H27" s="162">
        <v>6740897.3706994206</v>
      </c>
      <c r="I27" s="162">
        <v>6378350.01995961</v>
      </c>
      <c r="J27" s="161">
        <v>1.8694838310392599E-2</v>
      </c>
      <c r="K27" s="163">
        <v>16250</v>
      </c>
      <c r="L27" s="163">
        <v>6399</v>
      </c>
      <c r="M27" s="163">
        <v>6399</v>
      </c>
      <c r="N27" s="180">
        <v>5.583333333333333</v>
      </c>
      <c r="O27" s="164">
        <v>47771</v>
      </c>
      <c r="P27" s="155"/>
    </row>
    <row r="28" spans="1:16" x14ac:dyDescent="0.25">
      <c r="A28" s="155"/>
      <c r="B28" s="165" t="s">
        <v>195</v>
      </c>
      <c r="C28" s="165" t="s">
        <v>196</v>
      </c>
      <c r="D28" s="165" t="s">
        <v>195</v>
      </c>
      <c r="E28" s="166" t="s">
        <v>23</v>
      </c>
      <c r="F28" s="167">
        <v>5.6500000000000002E-2</v>
      </c>
      <c r="G28" s="167">
        <v>4.4400000000000002E-2</v>
      </c>
      <c r="H28" s="168">
        <v>4866494.3135519996</v>
      </c>
      <c r="I28" s="168">
        <v>4901964.8099999996</v>
      </c>
      <c r="J28" s="167">
        <v>1.4367577702605397E-2</v>
      </c>
      <c r="K28" s="169">
        <v>21250</v>
      </c>
      <c r="L28" s="169">
        <v>21250</v>
      </c>
      <c r="M28" s="169">
        <v>4800</v>
      </c>
      <c r="N28" s="181">
        <v>2.7908045023383301</v>
      </c>
      <c r="O28" s="170">
        <v>46871</v>
      </c>
      <c r="P28" s="155"/>
    </row>
    <row r="29" spans="1:16" x14ac:dyDescent="0.25">
      <c r="A29" s="155"/>
      <c r="B29" s="159" t="s">
        <v>209</v>
      </c>
      <c r="C29" s="159" t="s">
        <v>210</v>
      </c>
      <c r="D29" s="159" t="s">
        <v>209</v>
      </c>
      <c r="E29" s="160" t="s">
        <v>21</v>
      </c>
      <c r="F29" s="161">
        <v>0.115</v>
      </c>
      <c r="G29" s="161">
        <v>0.13400000000000001</v>
      </c>
      <c r="H29" s="162">
        <v>4910303.7125675203</v>
      </c>
      <c r="I29" s="162">
        <v>4361439.35998239</v>
      </c>
      <c r="J29" s="161">
        <v>1.2783306557386026E-2</v>
      </c>
      <c r="K29" s="163">
        <v>5323</v>
      </c>
      <c r="L29" s="163">
        <v>5323</v>
      </c>
      <c r="M29" s="163">
        <v>5323</v>
      </c>
      <c r="N29" s="180">
        <v>3.6</v>
      </c>
      <c r="O29" s="164">
        <v>53220</v>
      </c>
      <c r="P29" s="155"/>
    </row>
    <row r="30" spans="1:16" x14ac:dyDescent="0.25">
      <c r="A30" s="155"/>
      <c r="B30" s="165" t="s">
        <v>151</v>
      </c>
      <c r="C30" s="165" t="s">
        <v>149</v>
      </c>
      <c r="D30" s="165" t="s">
        <v>151</v>
      </c>
      <c r="E30" s="166" t="s">
        <v>21</v>
      </c>
      <c r="F30" s="167">
        <v>9.5000000000000001E-2</v>
      </c>
      <c r="G30" s="167">
        <v>0.1177</v>
      </c>
      <c r="H30" s="168">
        <v>3985344.5409143204</v>
      </c>
      <c r="I30" s="168">
        <v>3676657.4500123998</v>
      </c>
      <c r="J30" s="167">
        <v>1.0776222116314248E-2</v>
      </c>
      <c r="K30" s="169">
        <v>5292</v>
      </c>
      <c r="L30" s="169">
        <v>3176</v>
      </c>
      <c r="M30" s="169">
        <v>3176</v>
      </c>
      <c r="N30" s="181">
        <v>3.9732250922009031</v>
      </c>
      <c r="O30" s="170">
        <v>47744</v>
      </c>
      <c r="P30" s="155"/>
    </row>
    <row r="31" spans="1:16" x14ac:dyDescent="0.25">
      <c r="A31" s="155"/>
      <c r="B31" s="159" t="s">
        <v>154</v>
      </c>
      <c r="C31" s="159" t="s">
        <v>152</v>
      </c>
      <c r="D31" s="159" t="s">
        <v>154</v>
      </c>
      <c r="E31" s="160" t="s">
        <v>21</v>
      </c>
      <c r="F31" s="161">
        <v>9.5000000000000001E-2</v>
      </c>
      <c r="G31" s="161">
        <v>0.1125</v>
      </c>
      <c r="H31" s="162">
        <v>2633432.9949600003</v>
      </c>
      <c r="I31" s="162">
        <v>2553397.0199199999</v>
      </c>
      <c r="J31" s="161">
        <v>7.4839643920866211E-3</v>
      </c>
      <c r="K31" s="163">
        <v>8000</v>
      </c>
      <c r="L31" s="163">
        <v>8000</v>
      </c>
      <c r="M31" s="163">
        <v>8000</v>
      </c>
      <c r="N31" s="180">
        <v>2.1577183704829985</v>
      </c>
      <c r="O31" s="164">
        <v>48515</v>
      </c>
      <c r="P31" s="155"/>
    </row>
    <row r="32" spans="1:16" x14ac:dyDescent="0.25">
      <c r="A32" s="155"/>
      <c r="B32" s="165" t="s">
        <v>211</v>
      </c>
      <c r="C32" s="165" t="s">
        <v>185</v>
      </c>
      <c r="D32" s="165" t="s">
        <v>211</v>
      </c>
      <c r="E32" s="166" t="s">
        <v>21</v>
      </c>
      <c r="F32" s="167">
        <v>0.1</v>
      </c>
      <c r="G32" s="167">
        <v>0.1231</v>
      </c>
      <c r="H32" s="168">
        <v>2650313.9249662999</v>
      </c>
      <c r="I32" s="168">
        <v>2432510.36000928</v>
      </c>
      <c r="J32" s="167">
        <v>7.1296475932527067E-3</v>
      </c>
      <c r="K32" s="169">
        <v>32450</v>
      </c>
      <c r="L32" s="169">
        <v>32450</v>
      </c>
      <c r="M32" s="169">
        <v>3089</v>
      </c>
      <c r="N32" s="181">
        <v>4.9264407829211221</v>
      </c>
      <c r="O32" s="170">
        <v>48869</v>
      </c>
      <c r="P32" s="155"/>
    </row>
    <row r="33" spans="1:16" x14ac:dyDescent="0.25">
      <c r="A33" s="155"/>
      <c r="B33" s="159" t="s">
        <v>221</v>
      </c>
      <c r="C33" s="159" t="s">
        <v>222</v>
      </c>
      <c r="D33" s="159" t="s">
        <v>221</v>
      </c>
      <c r="E33" s="160" t="s">
        <v>23</v>
      </c>
      <c r="F33" s="161">
        <v>0.06</v>
      </c>
      <c r="G33" s="161">
        <v>0.06</v>
      </c>
      <c r="H33" s="162">
        <v>500361.04582500021</v>
      </c>
      <c r="I33" s="162">
        <v>500361.04999500001</v>
      </c>
      <c r="J33" s="161">
        <v>1.4665499537032348E-3</v>
      </c>
      <c r="K33" s="163">
        <v>9000</v>
      </c>
      <c r="L33" s="163">
        <v>9000</v>
      </c>
      <c r="M33" s="163">
        <v>1500</v>
      </c>
      <c r="N33" s="180">
        <v>0.18872458733294842</v>
      </c>
      <c r="O33" s="164">
        <v>45835</v>
      </c>
      <c r="P33" s="155"/>
    </row>
    <row r="34" spans="1:16" x14ac:dyDescent="0.25">
      <c r="A34" s="155"/>
      <c r="B34" s="155"/>
      <c r="C34" s="155"/>
      <c r="D34" s="155"/>
      <c r="E34" s="156"/>
      <c r="F34" s="156"/>
      <c r="G34" s="156"/>
      <c r="H34" s="156"/>
      <c r="I34" s="156"/>
      <c r="J34" s="156"/>
      <c r="K34" s="156"/>
      <c r="L34" s="156"/>
      <c r="M34" s="156"/>
      <c r="N34" s="156"/>
      <c r="O34" s="156"/>
      <c r="P34" s="155"/>
    </row>
  </sheetData>
  <conditionalFormatting sqref="B1:O5">
    <cfRule type="expression" dxfId="3" priority="1">
      <formula>$A1=1</formula>
    </cfRule>
    <cfRule type="expression" dxfId="2" priority="2">
      <formula>$A1=2</formula>
    </cfRule>
  </conditionalFormatting>
  <conditionalFormatting sqref="C6:P6">
    <cfRule type="expression" dxfId="1" priority="3">
      <formula>$A6=1</formula>
    </cfRule>
    <cfRule type="expression" dxfId="0" priority="4">
      <formula>$A6=2</formula>
    </cfRule>
  </conditionalFormatting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7E0A6-C0AD-4E50-8768-FD6283CF1B5D}">
  <sheetPr codeName="Sheet2">
    <tabColor theme="1" tint="0.79998168889431442"/>
  </sheetPr>
  <dimension ref="A1:AS43"/>
  <sheetViews>
    <sheetView showGridLines="0" zoomScale="85" zoomScaleNormal="85" workbookViewId="0"/>
  </sheetViews>
  <sheetFormatPr defaultColWidth="9.140625" defaultRowHeight="18.75" customHeight="1" x14ac:dyDescent="0.25"/>
  <cols>
    <col min="1" max="1" width="3.5703125" style="8" customWidth="1"/>
    <col min="2" max="2" width="49.28515625" style="8" customWidth="1"/>
    <col min="3" max="29" width="15.140625" style="110" customWidth="1"/>
    <col min="30" max="30" width="13.7109375" style="110" customWidth="1"/>
    <col min="31" max="31" width="13.5703125" style="110" customWidth="1"/>
    <col min="32" max="33" width="12.28515625" style="110" bestFit="1" customWidth="1"/>
    <col min="34" max="39" width="12.28515625" style="110" customWidth="1"/>
    <col min="40" max="40" width="0.85546875" style="110" customWidth="1"/>
    <col min="41" max="41" width="13.5703125" style="110" bestFit="1" customWidth="1"/>
    <col min="42" max="42" width="9.140625" style="110"/>
    <col min="43" max="43" width="23.85546875" style="110" bestFit="1" customWidth="1"/>
    <col min="44" max="44" width="13.85546875" style="110" bestFit="1" customWidth="1"/>
    <col min="45" max="16384" width="9.140625" style="110"/>
  </cols>
  <sheetData>
    <row r="1" spans="1:45" s="173" customFormat="1" ht="18.600000000000001" customHeight="1" x14ac:dyDescent="0.25">
      <c r="A1" s="131"/>
      <c r="B1" s="131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  <c r="AO1" s="172"/>
    </row>
    <row r="2" spans="1:45" s="173" customFormat="1" ht="18.75" customHeight="1" x14ac:dyDescent="0.25">
      <c r="A2" s="131"/>
      <c r="B2" s="174" t="s">
        <v>160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6"/>
      <c r="AF2" s="176"/>
      <c r="AG2" s="176"/>
      <c r="AH2" s="176"/>
      <c r="AI2" s="176"/>
      <c r="AJ2" s="176"/>
      <c r="AK2" s="176"/>
      <c r="AL2" s="176"/>
      <c r="AM2" s="176"/>
      <c r="AN2" s="176"/>
      <c r="AO2" s="176"/>
    </row>
    <row r="3" spans="1:45" s="173" customFormat="1" ht="18.75" customHeight="1" x14ac:dyDescent="0.25">
      <c r="A3" s="131"/>
      <c r="B3" s="134" t="s">
        <v>167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</row>
    <row r="4" spans="1:45" s="173" customFormat="1" ht="18.75" customHeight="1" x14ac:dyDescent="0.25">
      <c r="A4" s="131"/>
      <c r="B4" s="138">
        <f>'Carteira de CRIs'!B4</f>
        <v>45689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</row>
    <row r="5" spans="1:45" s="173" customFormat="1" ht="18.600000000000001" customHeight="1" x14ac:dyDescent="0.25">
      <c r="A5" s="131"/>
      <c r="B5" s="131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172"/>
      <c r="T5" s="172"/>
      <c r="U5" s="172"/>
      <c r="V5" s="172"/>
      <c r="W5" s="172"/>
      <c r="X5" s="172"/>
      <c r="Y5" s="172"/>
      <c r="Z5" s="172"/>
      <c r="AA5" s="172"/>
      <c r="AB5" s="172"/>
      <c r="AC5" s="172"/>
      <c r="AD5" s="172"/>
      <c r="AE5" s="172"/>
      <c r="AF5" s="172"/>
      <c r="AG5" s="172"/>
      <c r="AH5" s="172"/>
      <c r="AI5" s="172"/>
      <c r="AJ5" s="172"/>
      <c r="AK5" s="172"/>
      <c r="AL5" s="172"/>
      <c r="AM5" s="172"/>
      <c r="AN5" s="172"/>
      <c r="AO5" s="172"/>
    </row>
    <row r="7" spans="1:45" ht="18.75" customHeight="1" x14ac:dyDescent="0.25">
      <c r="B7" s="9"/>
      <c r="C7" s="108">
        <v>45689</v>
      </c>
      <c r="D7" s="108">
        <v>45658</v>
      </c>
      <c r="E7" s="108">
        <v>45627</v>
      </c>
      <c r="F7" s="108">
        <v>45597</v>
      </c>
      <c r="G7" s="108">
        <v>45566</v>
      </c>
      <c r="H7" s="108">
        <v>45536</v>
      </c>
      <c r="I7" s="108">
        <v>45505</v>
      </c>
      <c r="J7" s="108">
        <v>45474</v>
      </c>
      <c r="K7" s="108">
        <v>45444</v>
      </c>
      <c r="L7" s="108">
        <v>45413</v>
      </c>
      <c r="M7" s="108">
        <v>45383</v>
      </c>
      <c r="N7" s="108">
        <v>45352</v>
      </c>
      <c r="O7" s="108">
        <v>45323</v>
      </c>
      <c r="P7" s="108">
        <v>45292</v>
      </c>
      <c r="Q7" s="108">
        <v>45261</v>
      </c>
      <c r="R7" s="108">
        <v>45231</v>
      </c>
      <c r="S7" s="108">
        <v>45200</v>
      </c>
      <c r="T7" s="108">
        <v>45170</v>
      </c>
      <c r="U7" s="108">
        <v>45139</v>
      </c>
      <c r="V7" s="108">
        <v>45108</v>
      </c>
      <c r="W7" s="108">
        <v>45078</v>
      </c>
      <c r="X7" s="108">
        <v>45047</v>
      </c>
      <c r="Y7" s="108">
        <v>45017</v>
      </c>
      <c r="Z7" s="108">
        <v>44986</v>
      </c>
      <c r="AA7" s="108">
        <v>44958</v>
      </c>
      <c r="AB7" s="108">
        <v>44927</v>
      </c>
      <c r="AC7" s="108">
        <v>44896</v>
      </c>
      <c r="AD7" s="108">
        <v>44866</v>
      </c>
      <c r="AE7" s="108">
        <v>44835</v>
      </c>
      <c r="AF7" s="108">
        <v>44805</v>
      </c>
      <c r="AG7" s="108">
        <v>44774</v>
      </c>
      <c r="AH7" s="108">
        <v>44743</v>
      </c>
      <c r="AI7" s="108">
        <v>44713</v>
      </c>
      <c r="AJ7" s="108">
        <v>44682</v>
      </c>
      <c r="AK7" s="108">
        <v>44652</v>
      </c>
      <c r="AL7" s="108">
        <v>44621</v>
      </c>
      <c r="AM7" s="108">
        <v>44593</v>
      </c>
      <c r="AN7" s="109"/>
      <c r="AO7" s="108" t="s">
        <v>33</v>
      </c>
      <c r="AS7" s="111"/>
    </row>
    <row r="8" spans="1:45" ht="18.75" customHeight="1" x14ac:dyDescent="0.25">
      <c r="B8" s="10" t="s">
        <v>28</v>
      </c>
      <c r="C8" s="112">
        <v>3471728</v>
      </c>
      <c r="D8" s="112">
        <v>3471728</v>
      </c>
      <c r="E8" s="112">
        <v>3471728</v>
      </c>
      <c r="F8" s="112">
        <v>3471728</v>
      </c>
      <c r="G8" s="112">
        <v>3471728</v>
      </c>
      <c r="H8" s="112">
        <v>3471728</v>
      </c>
      <c r="I8" s="112">
        <v>3471728</v>
      </c>
      <c r="J8" s="112">
        <v>3471728</v>
      </c>
      <c r="K8" s="112">
        <v>3471728</v>
      </c>
      <c r="L8" s="112">
        <v>3471728</v>
      </c>
      <c r="M8" s="112">
        <v>3471728</v>
      </c>
      <c r="N8" s="112">
        <v>3471728</v>
      </c>
      <c r="O8" s="112">
        <v>3459775</v>
      </c>
      <c r="P8" s="112">
        <v>3135997</v>
      </c>
      <c r="Q8" s="112">
        <v>2371542</v>
      </c>
      <c r="R8" s="112">
        <v>2241755</v>
      </c>
      <c r="S8" s="112">
        <v>2241755</v>
      </c>
      <c r="T8" s="112">
        <v>2241755</v>
      </c>
      <c r="U8" s="112">
        <v>2241755</v>
      </c>
      <c r="V8" s="112">
        <v>2241755</v>
      </c>
      <c r="W8" s="112">
        <v>2241755</v>
      </c>
      <c r="X8" s="112">
        <v>2241755</v>
      </c>
      <c r="Y8" s="112">
        <v>2241755</v>
      </c>
      <c r="Z8" s="112">
        <v>2241755</v>
      </c>
      <c r="AA8" s="112">
        <v>2241755</v>
      </c>
      <c r="AB8" s="112">
        <v>2241755</v>
      </c>
      <c r="AC8" s="112">
        <v>2241755</v>
      </c>
      <c r="AD8" s="112">
        <v>2241755</v>
      </c>
      <c r="AE8" s="112">
        <v>2241755</v>
      </c>
      <c r="AF8" s="112">
        <v>2241755</v>
      </c>
      <c r="AG8" s="112">
        <v>2241755</v>
      </c>
      <c r="AH8" s="112">
        <v>2241755</v>
      </c>
      <c r="AI8" s="112">
        <v>1804035</v>
      </c>
      <c r="AJ8" s="112">
        <v>1376039</v>
      </c>
      <c r="AK8" s="112">
        <v>772881</v>
      </c>
      <c r="AL8" s="112">
        <v>637004</v>
      </c>
      <c r="AM8" s="112">
        <v>158999</v>
      </c>
      <c r="AN8" s="109"/>
      <c r="AO8" s="113"/>
    </row>
    <row r="9" spans="1:45" ht="18.75" customHeight="1" x14ac:dyDescent="0.25">
      <c r="B9" s="10" t="s">
        <v>29</v>
      </c>
      <c r="C9" s="112">
        <v>3471728</v>
      </c>
      <c r="D9" s="112">
        <v>3471728</v>
      </c>
      <c r="E9" s="112">
        <v>3471728</v>
      </c>
      <c r="F9" s="112">
        <v>3471728</v>
      </c>
      <c r="G9" s="112">
        <v>3471728</v>
      </c>
      <c r="H9" s="112">
        <v>3471728</v>
      </c>
      <c r="I9" s="112">
        <v>3471728</v>
      </c>
      <c r="J9" s="112">
        <v>3471728</v>
      </c>
      <c r="K9" s="112">
        <v>3471728</v>
      </c>
      <c r="L9" s="112">
        <v>3471728</v>
      </c>
      <c r="M9" s="112">
        <v>3471728</v>
      </c>
      <c r="N9" s="112">
        <v>3471728</v>
      </c>
      <c r="O9" s="112">
        <v>3471728</v>
      </c>
      <c r="P9" s="112">
        <v>3459775</v>
      </c>
      <c r="Q9" s="112">
        <v>3135997</v>
      </c>
      <c r="R9" s="112">
        <v>2241755</v>
      </c>
      <c r="S9" s="112">
        <v>2241755</v>
      </c>
      <c r="T9" s="112">
        <v>2241755</v>
      </c>
      <c r="U9" s="112">
        <v>2241755</v>
      </c>
      <c r="V9" s="112">
        <v>2241755</v>
      </c>
      <c r="W9" s="112">
        <v>2241755</v>
      </c>
      <c r="X9" s="112">
        <v>2241755</v>
      </c>
      <c r="Y9" s="112">
        <v>2241755</v>
      </c>
      <c r="Z9" s="112">
        <v>2241755</v>
      </c>
      <c r="AA9" s="112">
        <v>2241755</v>
      </c>
      <c r="AB9" s="112">
        <v>2241755</v>
      </c>
      <c r="AC9" s="112">
        <v>2241755</v>
      </c>
      <c r="AD9" s="112">
        <v>2241755</v>
      </c>
      <c r="AE9" s="112">
        <v>2241755</v>
      </c>
      <c r="AF9" s="112">
        <v>2241755</v>
      </c>
      <c r="AG9" s="112">
        <v>2241755</v>
      </c>
      <c r="AH9" s="112">
        <v>2241755</v>
      </c>
      <c r="AI9" s="112">
        <v>1804035</v>
      </c>
      <c r="AJ9" s="112">
        <v>1376039</v>
      </c>
      <c r="AK9" s="112">
        <v>772881</v>
      </c>
      <c r="AL9" s="112">
        <v>637004</v>
      </c>
      <c r="AM9" s="112">
        <v>158999</v>
      </c>
      <c r="AN9" s="109"/>
      <c r="AO9" s="109"/>
    </row>
    <row r="10" spans="1:45" ht="18.75" customHeight="1" x14ac:dyDescent="0.25">
      <c r="B10" s="10" t="s">
        <v>30</v>
      </c>
      <c r="C10" s="114">
        <v>83.75</v>
      </c>
      <c r="D10" s="114">
        <v>79.31</v>
      </c>
      <c r="E10" s="114">
        <v>82.16</v>
      </c>
      <c r="F10" s="114">
        <v>86.96</v>
      </c>
      <c r="G10" s="114">
        <v>86.27</v>
      </c>
      <c r="H10" s="114">
        <v>88.95</v>
      </c>
      <c r="I10" s="114">
        <v>92.95</v>
      </c>
      <c r="J10" s="114">
        <v>93.7</v>
      </c>
      <c r="K10" s="114">
        <v>93.49</v>
      </c>
      <c r="L10" s="114">
        <v>95.86</v>
      </c>
      <c r="M10" s="114">
        <v>98.38</v>
      </c>
      <c r="N10" s="114">
        <v>100.77</v>
      </c>
      <c r="O10" s="114">
        <v>102</v>
      </c>
      <c r="P10" s="114">
        <v>103.4</v>
      </c>
      <c r="Q10" s="114">
        <v>103.8</v>
      </c>
      <c r="R10" s="114">
        <v>102</v>
      </c>
      <c r="S10" s="114">
        <v>101.32</v>
      </c>
      <c r="T10" s="114">
        <v>98.55</v>
      </c>
      <c r="U10" s="114">
        <v>96.68</v>
      </c>
      <c r="V10" s="114">
        <v>98.5</v>
      </c>
      <c r="W10" s="114">
        <v>98</v>
      </c>
      <c r="X10" s="114">
        <v>97</v>
      </c>
      <c r="Y10" s="114">
        <v>94.37</v>
      </c>
      <c r="Z10" s="114">
        <v>98.42</v>
      </c>
      <c r="AA10" s="114">
        <v>92.8</v>
      </c>
      <c r="AB10" s="114">
        <v>93.4</v>
      </c>
      <c r="AC10" s="114">
        <v>97.49</v>
      </c>
      <c r="AD10" s="114">
        <v>94.06</v>
      </c>
      <c r="AE10" s="114">
        <v>96.51</v>
      </c>
      <c r="AF10" s="114">
        <v>98.95</v>
      </c>
      <c r="AG10" s="114">
        <v>99.45</v>
      </c>
      <c r="AH10" s="114">
        <v>100.83</v>
      </c>
      <c r="AI10" s="114" t="s">
        <v>148</v>
      </c>
      <c r="AJ10" s="114" t="s">
        <v>148</v>
      </c>
      <c r="AK10" s="114" t="s">
        <v>148</v>
      </c>
      <c r="AL10" s="114" t="s">
        <v>148</v>
      </c>
      <c r="AM10" s="114" t="s">
        <v>148</v>
      </c>
      <c r="AN10" s="109"/>
      <c r="AO10" s="114">
        <v>97.49</v>
      </c>
    </row>
    <row r="11" spans="1:45" ht="18.75" customHeight="1" x14ac:dyDescent="0.25">
      <c r="B11" s="10" t="s">
        <v>31</v>
      </c>
      <c r="C11" s="115">
        <v>98.274522554762356</v>
      </c>
      <c r="D11" s="115">
        <v>98.758143264679717</v>
      </c>
      <c r="E11" s="115">
        <v>97.615756000000005</v>
      </c>
      <c r="F11" s="115">
        <v>98.893096671167797</v>
      </c>
      <c r="G11" s="115">
        <v>99.285338324315731</v>
      </c>
      <c r="H11" s="115">
        <v>99.388790299816122</v>
      </c>
      <c r="I11" s="115">
        <v>99.850466923099958</v>
      </c>
      <c r="J11" s="115">
        <v>99.900929603356019</v>
      </c>
      <c r="K11" s="115">
        <v>99.362125604310023</v>
      </c>
      <c r="L11" s="115">
        <v>99.778882547826328</v>
      </c>
      <c r="M11" s="115">
        <v>99.640068988699582</v>
      </c>
      <c r="N11" s="115">
        <v>100.47054023529492</v>
      </c>
      <c r="O11" s="115">
        <v>100.80670335924934</v>
      </c>
      <c r="P11" s="115">
        <v>101.10328330599533</v>
      </c>
      <c r="Q11" s="115">
        <v>101.79</v>
      </c>
      <c r="R11" s="115">
        <v>101.29870982333038</v>
      </c>
      <c r="S11" s="115">
        <v>99.586850387308161</v>
      </c>
      <c r="T11" s="115">
        <v>101.19805597400251</v>
      </c>
      <c r="U11" s="115">
        <v>101.86291787907243</v>
      </c>
      <c r="V11" s="115">
        <v>102.15313688605579</v>
      </c>
      <c r="W11" s="115">
        <v>101.90954661414828</v>
      </c>
      <c r="X11" s="115">
        <v>101.41430564892238</v>
      </c>
      <c r="Y11" s="115">
        <v>101.31158039571675</v>
      </c>
      <c r="Z11" s="115">
        <v>101.61615841606242</v>
      </c>
      <c r="AA11" s="115">
        <v>101.19022139350642</v>
      </c>
      <c r="AB11" s="115">
        <v>101.0465687329793</v>
      </c>
      <c r="AC11" s="115">
        <v>100.57754743493379</v>
      </c>
      <c r="AD11" s="115">
        <v>100.73838189721891</v>
      </c>
      <c r="AE11" s="115">
        <v>101.68862788752561</v>
      </c>
      <c r="AF11" s="115">
        <v>101.46225225325693</v>
      </c>
      <c r="AG11" s="115">
        <v>101.36804680707749</v>
      </c>
      <c r="AH11" s="115">
        <v>100.80589192396135</v>
      </c>
      <c r="AI11" s="115">
        <v>102.49711416352787</v>
      </c>
      <c r="AJ11" s="115">
        <v>102.48274676807851</v>
      </c>
      <c r="AK11" s="115">
        <v>102.25894175170562</v>
      </c>
      <c r="AL11" s="115">
        <v>102.54518119195484</v>
      </c>
      <c r="AM11" s="115">
        <v>100.5076852684608</v>
      </c>
      <c r="AN11" s="109"/>
      <c r="AO11" s="109"/>
    </row>
    <row r="12" spans="1:45" ht="18.75" customHeight="1" x14ac:dyDescent="0.25">
      <c r="AN12" s="116"/>
    </row>
    <row r="13" spans="1:45" ht="18.75" customHeight="1" x14ac:dyDescent="0.25">
      <c r="B13" s="11" t="s">
        <v>32</v>
      </c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6"/>
      <c r="AO13" s="118"/>
    </row>
    <row r="14" spans="1:45" ht="18.75" customHeight="1" x14ac:dyDescent="0.25">
      <c r="B14" s="12" t="s">
        <v>166</v>
      </c>
      <c r="C14" s="108">
        <v>45689</v>
      </c>
      <c r="D14" s="108">
        <v>45658</v>
      </c>
      <c r="E14" s="108">
        <v>45627</v>
      </c>
      <c r="F14" s="108">
        <v>45597</v>
      </c>
      <c r="G14" s="108">
        <v>45566</v>
      </c>
      <c r="H14" s="108">
        <v>45536</v>
      </c>
      <c r="I14" s="108">
        <v>45505</v>
      </c>
      <c r="J14" s="108">
        <v>45474</v>
      </c>
      <c r="K14" s="108">
        <v>45444</v>
      </c>
      <c r="L14" s="108">
        <v>45413</v>
      </c>
      <c r="M14" s="108">
        <v>45383</v>
      </c>
      <c r="N14" s="108">
        <v>45352</v>
      </c>
      <c r="O14" s="108">
        <v>45323</v>
      </c>
      <c r="P14" s="108">
        <v>45292</v>
      </c>
      <c r="Q14" s="108">
        <v>45261</v>
      </c>
      <c r="R14" s="108">
        <v>45231</v>
      </c>
      <c r="S14" s="108">
        <v>45200</v>
      </c>
      <c r="T14" s="108">
        <v>45170</v>
      </c>
      <c r="U14" s="108">
        <v>45139</v>
      </c>
      <c r="V14" s="108">
        <v>45108</v>
      </c>
      <c r="W14" s="108">
        <v>45078</v>
      </c>
      <c r="X14" s="108">
        <v>45047</v>
      </c>
      <c r="Y14" s="108">
        <v>45017</v>
      </c>
      <c r="Z14" s="108">
        <v>44986</v>
      </c>
      <c r="AA14" s="108">
        <v>44958</v>
      </c>
      <c r="AB14" s="108">
        <v>44927</v>
      </c>
      <c r="AC14" s="108">
        <v>44896</v>
      </c>
      <c r="AD14" s="108">
        <v>44866</v>
      </c>
      <c r="AE14" s="108">
        <v>44835</v>
      </c>
      <c r="AF14" s="108">
        <v>44805</v>
      </c>
      <c r="AG14" s="108">
        <v>44774</v>
      </c>
      <c r="AH14" s="108">
        <v>44743</v>
      </c>
      <c r="AI14" s="108">
        <v>44713</v>
      </c>
      <c r="AJ14" s="108">
        <v>44682</v>
      </c>
      <c r="AK14" s="108">
        <v>44652</v>
      </c>
      <c r="AL14" s="108">
        <v>44621</v>
      </c>
      <c r="AM14" s="108">
        <v>44593</v>
      </c>
      <c r="AN14" s="119"/>
      <c r="AO14" s="108" t="s">
        <v>33</v>
      </c>
    </row>
    <row r="15" spans="1:45" ht="18.75" customHeight="1" x14ac:dyDescent="0.25">
      <c r="B15" s="68" t="s">
        <v>34</v>
      </c>
      <c r="C15" s="120">
        <v>3796362.9509021058</v>
      </c>
      <c r="D15" s="120">
        <v>4045492.4206631156</v>
      </c>
      <c r="E15" s="120">
        <v>4213376.1851453502</v>
      </c>
      <c r="F15" s="120">
        <v>3561984.3001873204</v>
      </c>
      <c r="G15" s="120">
        <v>3679301.1575709749</v>
      </c>
      <c r="H15" s="120">
        <v>3613248.7226419998</v>
      </c>
      <c r="I15" s="120">
        <v>3854515.8430710002</v>
      </c>
      <c r="J15" s="120">
        <v>4239277.3010109998</v>
      </c>
      <c r="K15" s="120">
        <v>3723663.5502380002</v>
      </c>
      <c r="L15" s="120">
        <v>3753554.9111780003</v>
      </c>
      <c r="M15" s="120">
        <v>4099569.0902600004</v>
      </c>
      <c r="N15" s="120">
        <v>3792558.6965660751</v>
      </c>
      <c r="O15" s="120">
        <v>3548800.3548558247</v>
      </c>
      <c r="P15" s="120">
        <v>3861051.0295794052</v>
      </c>
      <c r="Q15" s="120">
        <v>2671440</v>
      </c>
      <c r="R15" s="120">
        <v>2272206.4885083498</v>
      </c>
      <c r="S15" s="120">
        <v>2332206</v>
      </c>
      <c r="T15" s="120">
        <v>1928706.3526294499</v>
      </c>
      <c r="U15" s="120">
        <v>2202792.3497075248</v>
      </c>
      <c r="V15" s="120">
        <v>2323506.5991683253</v>
      </c>
      <c r="W15" s="120">
        <v>2671158.3722066502</v>
      </c>
      <c r="X15" s="120">
        <v>3431030.9658860001</v>
      </c>
      <c r="Y15" s="120">
        <v>2852679.6594160004</v>
      </c>
      <c r="Z15" s="120">
        <v>3427310.4530099751</v>
      </c>
      <c r="AA15" s="120">
        <v>2632660.1878539501</v>
      </c>
      <c r="AB15" s="120">
        <v>2958737.6844571005</v>
      </c>
      <c r="AC15" s="120">
        <v>2944637.0100000002</v>
      </c>
      <c r="AD15" s="120">
        <v>2567641.8748303652</v>
      </c>
      <c r="AE15" s="120">
        <v>2442337.628814525</v>
      </c>
      <c r="AF15" s="120">
        <v>2629722.6772143827</v>
      </c>
      <c r="AG15" s="120">
        <v>3257705.1885124077</v>
      </c>
      <c r="AH15" s="120">
        <v>2648961.2629624004</v>
      </c>
      <c r="AI15" s="120">
        <v>2160297.3471836001</v>
      </c>
      <c r="AJ15" s="120">
        <v>1807642.24853515</v>
      </c>
      <c r="AK15" s="120">
        <v>1229201.2526750253</v>
      </c>
      <c r="AL15" s="120">
        <v>449541.93341860001</v>
      </c>
      <c r="AM15" s="120">
        <v>13916.159514575</v>
      </c>
      <c r="AN15" s="121"/>
      <c r="AO15" s="120">
        <v>88231751.49426952</v>
      </c>
    </row>
    <row r="16" spans="1:45" ht="18.75" customHeight="1" x14ac:dyDescent="0.25">
      <c r="B16" s="13" t="s">
        <v>35</v>
      </c>
      <c r="C16" s="122">
        <v>3522920.6194510795</v>
      </c>
      <c r="D16" s="122">
        <v>3551503.4206631156</v>
      </c>
      <c r="E16" s="122">
        <v>3901314.8600000003</v>
      </c>
      <c r="F16" s="122">
        <v>3287388.4468041202</v>
      </c>
      <c r="G16" s="122">
        <v>3335752.5119022499</v>
      </c>
      <c r="H16" s="122">
        <v>3281011.0526419999</v>
      </c>
      <c r="I16" s="122">
        <v>3386995.3830710002</v>
      </c>
      <c r="J16" s="122">
        <v>3741175.7910110001</v>
      </c>
      <c r="K16" s="122">
        <v>3234850.5302380002</v>
      </c>
      <c r="L16" s="122">
        <v>2995531.2611780004</v>
      </c>
      <c r="M16" s="122">
        <v>2968102.9902600003</v>
      </c>
      <c r="N16" s="122">
        <v>2753402.355612</v>
      </c>
      <c r="O16" s="122">
        <v>2618050.9330309997</v>
      </c>
      <c r="P16" s="122">
        <v>3122658.0972906803</v>
      </c>
      <c r="Q16" s="122">
        <v>2263764</v>
      </c>
      <c r="R16" s="122">
        <v>2130647.0611109999</v>
      </c>
      <c r="S16" s="122">
        <v>2168669</v>
      </c>
      <c r="T16" s="122">
        <v>1784358.5441419999</v>
      </c>
      <c r="U16" s="122">
        <v>2081936.4026209998</v>
      </c>
      <c r="V16" s="122">
        <v>2212506.8999060001</v>
      </c>
      <c r="W16" s="122">
        <v>2556059.070874</v>
      </c>
      <c r="X16" s="122">
        <v>3400411.5758859999</v>
      </c>
      <c r="Y16" s="122">
        <v>2729592.4775730004</v>
      </c>
      <c r="Z16" s="122">
        <v>3301081.3714050003</v>
      </c>
      <c r="AA16" s="122">
        <v>2487820.3915570001</v>
      </c>
      <c r="AB16" s="122">
        <v>2768744.8753090003</v>
      </c>
      <c r="AC16" s="122">
        <v>2598647.31</v>
      </c>
      <c r="AD16" s="122">
        <v>2504057.747457365</v>
      </c>
      <c r="AE16" s="122">
        <v>2406854.678785</v>
      </c>
      <c r="AF16" s="122">
        <v>2458116.4842062076</v>
      </c>
      <c r="AG16" s="122">
        <v>3130265.6677665329</v>
      </c>
      <c r="AH16" s="122">
        <v>2292186.4336900003</v>
      </c>
      <c r="AI16" s="122">
        <v>1826441.6493239999</v>
      </c>
      <c r="AJ16" s="122">
        <v>1601556.505594</v>
      </c>
      <c r="AK16" s="122">
        <v>1152615.3803177502</v>
      </c>
      <c r="AL16" s="122">
        <v>341361.208476</v>
      </c>
      <c r="AM16" s="122">
        <v>0</v>
      </c>
      <c r="AN16" s="122"/>
      <c r="AO16" s="122">
        <v>78184372.169891924</v>
      </c>
    </row>
    <row r="17" spans="1:42" ht="18.75" customHeight="1" x14ac:dyDescent="0.25">
      <c r="B17" s="13" t="s">
        <v>36</v>
      </c>
      <c r="C17" s="122">
        <v>273442.33145102637</v>
      </c>
      <c r="D17" s="122">
        <v>493989</v>
      </c>
      <c r="E17" s="122">
        <v>312061.32514535001</v>
      </c>
      <c r="F17" s="122">
        <v>274595.85338320001</v>
      </c>
      <c r="G17" s="122">
        <v>343548.64566872502</v>
      </c>
      <c r="H17" s="122">
        <v>332237.67</v>
      </c>
      <c r="I17" s="122">
        <v>467520.46</v>
      </c>
      <c r="J17" s="122">
        <v>498101.51</v>
      </c>
      <c r="K17" s="122">
        <v>488813.02</v>
      </c>
      <c r="L17" s="122">
        <v>758023.65</v>
      </c>
      <c r="M17" s="122">
        <v>1131466.1000000001</v>
      </c>
      <c r="N17" s="122">
        <v>1039156.3409540751</v>
      </c>
      <c r="O17" s="122">
        <v>930749.421824825</v>
      </c>
      <c r="P17" s="122">
        <v>738392.93228872493</v>
      </c>
      <c r="Q17" s="122">
        <v>407677</v>
      </c>
      <c r="R17" s="122">
        <v>141559.42739734999</v>
      </c>
      <c r="S17" s="122">
        <v>163537</v>
      </c>
      <c r="T17" s="122">
        <v>144347.80848745001</v>
      </c>
      <c r="U17" s="122">
        <v>120855.94708652502</v>
      </c>
      <c r="V17" s="122">
        <v>110999.69926232501</v>
      </c>
      <c r="W17" s="122">
        <v>115099.30133265002</v>
      </c>
      <c r="X17" s="122">
        <v>30619.39</v>
      </c>
      <c r="Y17" s="122">
        <v>123087.18184300001</v>
      </c>
      <c r="Z17" s="122">
        <v>126229.08160497501</v>
      </c>
      <c r="AA17" s="122">
        <v>144839.79629694999</v>
      </c>
      <c r="AB17" s="122">
        <v>189992.80914810003</v>
      </c>
      <c r="AC17" s="122">
        <v>345989.7</v>
      </c>
      <c r="AD17" s="122">
        <v>63584.127373000003</v>
      </c>
      <c r="AE17" s="122">
        <v>35482.950029525004</v>
      </c>
      <c r="AF17" s="122">
        <v>171606.193008175</v>
      </c>
      <c r="AG17" s="122">
        <v>127439.52074587501</v>
      </c>
      <c r="AH17" s="122">
        <v>356774.82927240006</v>
      </c>
      <c r="AI17" s="122">
        <v>333855.69785960001</v>
      </c>
      <c r="AJ17" s="122">
        <v>206085.74294115001</v>
      </c>
      <c r="AK17" s="122">
        <v>76585.872357275002</v>
      </c>
      <c r="AL17" s="122">
        <v>108180.72494259999</v>
      </c>
      <c r="AM17" s="122">
        <v>13916.159514575</v>
      </c>
      <c r="AN17" s="122"/>
      <c r="AO17" s="122">
        <v>10047379.324377602</v>
      </c>
    </row>
    <row r="18" spans="1:42" s="123" customFormat="1" ht="18.75" customHeight="1" x14ac:dyDescent="0.25">
      <c r="A18" s="65"/>
      <c r="B18" s="66" t="s">
        <v>37</v>
      </c>
      <c r="C18" s="120">
        <v>-444311.36470588233</v>
      </c>
      <c r="D18" s="120">
        <v>-481359.68</v>
      </c>
      <c r="E18" s="120">
        <v>-440465.63000000006</v>
      </c>
      <c r="F18" s="120">
        <v>-424980.02176470583</v>
      </c>
      <c r="G18" s="120">
        <v>-514536.01000000007</v>
      </c>
      <c r="H18" s="120">
        <v>-471093.77</v>
      </c>
      <c r="I18" s="120">
        <v>-496075.21</v>
      </c>
      <c r="J18" s="120">
        <v>-516485.49000000005</v>
      </c>
      <c r="K18" s="120">
        <v>-448024.15</v>
      </c>
      <c r="L18" s="120">
        <v>-471471.98</v>
      </c>
      <c r="M18" s="120">
        <v>-494659.95999999996</v>
      </c>
      <c r="N18" s="120">
        <v>-461136.49</v>
      </c>
      <c r="O18" s="120">
        <v>-435357.16</v>
      </c>
      <c r="P18" s="120">
        <v>-476798.27999999997</v>
      </c>
      <c r="Q18" s="120">
        <v>-346308</v>
      </c>
      <c r="R18" s="120">
        <v>-293682.59000000003</v>
      </c>
      <c r="S18" s="120">
        <v>-306604</v>
      </c>
      <c r="T18" s="120">
        <v>-296240.84999999998</v>
      </c>
      <c r="U18" s="120">
        <v>-341815.45999999996</v>
      </c>
      <c r="V18" s="120">
        <v>-311333.41000000003</v>
      </c>
      <c r="W18" s="120">
        <v>-310491.44</v>
      </c>
      <c r="X18" s="120">
        <v>-329342.04000000004</v>
      </c>
      <c r="Y18" s="120">
        <v>-297779.21000000008</v>
      </c>
      <c r="Z18" s="120">
        <v>-339724.06</v>
      </c>
      <c r="AA18" s="120">
        <v>-265655.5</v>
      </c>
      <c r="AB18" s="120">
        <v>-333033.44999999995</v>
      </c>
      <c r="AC18" s="120">
        <v>-332263.51</v>
      </c>
      <c r="AD18" s="120">
        <v>-283209.531579506</v>
      </c>
      <c r="AE18" s="120">
        <v>-277735.69473684212</v>
      </c>
      <c r="AF18" s="120">
        <v>-291195.07199999999</v>
      </c>
      <c r="AG18" s="120">
        <v>-323044.34000000003</v>
      </c>
      <c r="AH18" s="120">
        <v>-279990.09149999998</v>
      </c>
      <c r="AI18" s="120">
        <v>-210511.08</v>
      </c>
      <c r="AJ18" s="120">
        <v>-140971.84</v>
      </c>
      <c r="AK18" s="120">
        <v>-94534.58</v>
      </c>
      <c r="AL18" s="120">
        <v>-58638.58</v>
      </c>
      <c r="AM18" s="120">
        <v>-31875.25</v>
      </c>
      <c r="AN18" s="121"/>
      <c r="AO18" s="120">
        <v>-10515195.983333334</v>
      </c>
    </row>
    <row r="19" spans="1:42" ht="18.75" customHeight="1" x14ac:dyDescent="0.25">
      <c r="B19" s="13" t="s">
        <v>38</v>
      </c>
      <c r="C19" s="122">
        <v>-444311.36470588233</v>
      </c>
      <c r="D19" s="122">
        <v>-481359.68</v>
      </c>
      <c r="E19" s="122">
        <v>-440465.63000000006</v>
      </c>
      <c r="F19" s="122">
        <v>-424980.02176470583</v>
      </c>
      <c r="G19" s="122">
        <v>-514536.01000000007</v>
      </c>
      <c r="H19" s="122">
        <v>-471093.77</v>
      </c>
      <c r="I19" s="122">
        <v>-496075.21</v>
      </c>
      <c r="J19" s="122">
        <v>-516485.49000000005</v>
      </c>
      <c r="K19" s="122">
        <v>-448024.15</v>
      </c>
      <c r="L19" s="122">
        <v>-471471.98</v>
      </c>
      <c r="M19" s="122">
        <v>-494659.95999999996</v>
      </c>
      <c r="N19" s="122">
        <v>-461136.49</v>
      </c>
      <c r="O19" s="122">
        <v>-435357.16</v>
      </c>
      <c r="P19" s="122">
        <v>-476798.27999999997</v>
      </c>
      <c r="Q19" s="122">
        <v>-346308</v>
      </c>
      <c r="R19" s="122">
        <v>-293682.59000000003</v>
      </c>
      <c r="S19" s="122">
        <v>-306604</v>
      </c>
      <c r="T19" s="122">
        <v>-296240.84999999998</v>
      </c>
      <c r="U19" s="122">
        <v>-341815.45999999996</v>
      </c>
      <c r="V19" s="122">
        <v>-311333.41000000003</v>
      </c>
      <c r="W19" s="122">
        <v>-310491.44</v>
      </c>
      <c r="X19" s="122">
        <v>-329342.04000000004</v>
      </c>
      <c r="Y19" s="122">
        <v>-297779.21000000008</v>
      </c>
      <c r="Z19" s="122">
        <v>-339724.06</v>
      </c>
      <c r="AA19" s="122">
        <v>-265655.5</v>
      </c>
      <c r="AB19" s="122">
        <v>-333033.44999999995</v>
      </c>
      <c r="AC19" s="122">
        <v>-332263.51</v>
      </c>
      <c r="AD19" s="122">
        <v>-283209.531579506</v>
      </c>
      <c r="AE19" s="122">
        <v>-277735.69473684212</v>
      </c>
      <c r="AF19" s="122">
        <v>-291195.07199999999</v>
      </c>
      <c r="AG19" s="122">
        <v>-323044.34000000003</v>
      </c>
      <c r="AH19" s="122">
        <v>-279990.09149999998</v>
      </c>
      <c r="AI19" s="122">
        <v>-210511.08</v>
      </c>
      <c r="AJ19" s="122">
        <v>-140971.84</v>
      </c>
      <c r="AK19" s="122">
        <v>-94534.58</v>
      </c>
      <c r="AL19" s="122">
        <v>-58638.58</v>
      </c>
      <c r="AM19" s="122">
        <v>-31875.25</v>
      </c>
      <c r="AN19" s="122"/>
      <c r="AO19" s="122">
        <v>-10515195.983333334</v>
      </c>
    </row>
    <row r="20" spans="1:42" s="123" customFormat="1" ht="18.75" customHeight="1" x14ac:dyDescent="0.25">
      <c r="A20" s="65"/>
      <c r="B20" s="66" t="s">
        <v>39</v>
      </c>
      <c r="C20" s="120">
        <v>3352051.5861962233</v>
      </c>
      <c r="D20" s="120">
        <v>3564132.7406631154</v>
      </c>
      <c r="E20" s="120">
        <v>3772910.5551453503</v>
      </c>
      <c r="F20" s="120">
        <v>3137004.2784226146</v>
      </c>
      <c r="G20" s="120">
        <v>3164765.1475709747</v>
      </c>
      <c r="H20" s="120">
        <v>3142154.9526419998</v>
      </c>
      <c r="I20" s="120">
        <v>3358440.6330710002</v>
      </c>
      <c r="J20" s="120">
        <v>3722791.8110109996</v>
      </c>
      <c r="K20" s="120">
        <v>3275639.4002380003</v>
      </c>
      <c r="L20" s="120">
        <v>3282082.9311780003</v>
      </c>
      <c r="M20" s="120">
        <v>3604909.1302600005</v>
      </c>
      <c r="N20" s="120">
        <v>3331422.2065660749</v>
      </c>
      <c r="O20" s="120">
        <v>3113443.1948558246</v>
      </c>
      <c r="P20" s="120">
        <v>3384252.7495794054</v>
      </c>
      <c r="Q20" s="120">
        <v>2325133</v>
      </c>
      <c r="R20" s="120">
        <v>1978523.8985083497</v>
      </c>
      <c r="S20" s="120">
        <v>2025602</v>
      </c>
      <c r="T20" s="120">
        <v>1632465.5026294501</v>
      </c>
      <c r="U20" s="120">
        <v>1860976.8897075248</v>
      </c>
      <c r="V20" s="120">
        <v>2012173.1891683252</v>
      </c>
      <c r="W20" s="120">
        <v>2360666.9322066503</v>
      </c>
      <c r="X20" s="120">
        <v>3101688.925886</v>
      </c>
      <c r="Y20" s="120">
        <v>2554900.4494160004</v>
      </c>
      <c r="Z20" s="120">
        <v>3087586.3930099751</v>
      </c>
      <c r="AA20" s="120">
        <v>2367004.6878539501</v>
      </c>
      <c r="AB20" s="120">
        <v>2625704.2344571007</v>
      </c>
      <c r="AC20" s="120">
        <v>2612373.5</v>
      </c>
      <c r="AD20" s="120">
        <v>2284432.3432508591</v>
      </c>
      <c r="AE20" s="120">
        <v>2164601.9340776829</v>
      </c>
      <c r="AF20" s="120">
        <v>2338527.6052143825</v>
      </c>
      <c r="AG20" s="120">
        <v>2934660.8485124079</v>
      </c>
      <c r="AH20" s="120">
        <v>2368971.1714624004</v>
      </c>
      <c r="AI20" s="120">
        <v>1949786.2671836</v>
      </c>
      <c r="AJ20" s="120">
        <v>1666670.4085351499</v>
      </c>
      <c r="AK20" s="120">
        <v>1134666.6726750252</v>
      </c>
      <c r="AL20" s="120">
        <v>390903.35341859999</v>
      </c>
      <c r="AM20" s="120">
        <v>-17959.090485425</v>
      </c>
      <c r="AN20" s="121"/>
      <c r="AO20" s="120">
        <v>77716555.510936186</v>
      </c>
    </row>
    <row r="21" spans="1:42" s="123" customFormat="1" ht="18.75" customHeight="1" x14ac:dyDescent="0.25">
      <c r="A21" s="65"/>
      <c r="B21" s="67" t="s">
        <v>40</v>
      </c>
      <c r="C21" s="122">
        <v>11266.570623867843</v>
      </c>
      <c r="D21" s="122">
        <v>199323.80353157767</v>
      </c>
      <c r="E21" s="122">
        <v>248712.80045484679</v>
      </c>
      <c r="F21" s="122">
        <v>10049.438526696098</v>
      </c>
      <c r="G21" s="122">
        <v>50848.084205091538</v>
      </c>
      <c r="H21" s="122">
        <v>11357.085820269247</v>
      </c>
      <c r="I21" s="122">
        <v>7889.7193377433759</v>
      </c>
      <c r="J21" s="122">
        <v>15977.597073081422</v>
      </c>
      <c r="K21" s="122">
        <v>682160.53737456934</v>
      </c>
      <c r="L21" s="122">
        <v>432231.91738284548</v>
      </c>
      <c r="M21" s="122">
        <v>7934.1280120535421</v>
      </c>
      <c r="N21" s="122">
        <v>14875.756019813944</v>
      </c>
      <c r="O21" s="122">
        <v>12852.210307630754</v>
      </c>
      <c r="P21" s="122">
        <v>25220.373603823558</v>
      </c>
      <c r="Q21" s="122">
        <v>941813</v>
      </c>
      <c r="R21" s="122">
        <v>73765.310138420391</v>
      </c>
      <c r="S21" s="122">
        <v>85705</v>
      </c>
      <c r="T21" s="122">
        <v>113199.88369734978</v>
      </c>
      <c r="U21" s="122">
        <v>97606.293319531251</v>
      </c>
      <c r="V21" s="122">
        <v>88084.149145396223</v>
      </c>
      <c r="W21" s="122">
        <v>72213.796717817371</v>
      </c>
      <c r="X21" s="122">
        <v>106930.05354786965</v>
      </c>
      <c r="Y21" s="122">
        <v>63668.094264438172</v>
      </c>
      <c r="Z21" s="122">
        <v>157622.6034019393</v>
      </c>
      <c r="AA21" s="122">
        <v>24409.011412923031</v>
      </c>
      <c r="AB21" s="122">
        <v>504952.39987877884</v>
      </c>
      <c r="AC21" s="122">
        <v>-1416.5601212211614</v>
      </c>
      <c r="AD21" s="122">
        <v>26498.319626918572</v>
      </c>
      <c r="AE21" s="122">
        <v>343.66518435875702</v>
      </c>
      <c r="AF21" s="122">
        <v>250729.43752182304</v>
      </c>
      <c r="AG21" s="122">
        <v>767529.9636566611</v>
      </c>
      <c r="AH21" s="122">
        <v>252365.22818500339</v>
      </c>
      <c r="AI21" s="122">
        <v>7429.5712385837396</v>
      </c>
      <c r="AJ21" s="122">
        <v>7890.9621330089803</v>
      </c>
      <c r="AK21" s="122">
        <v>6803.9000896111111</v>
      </c>
      <c r="AL21" s="122">
        <v>4487.9299166209321</v>
      </c>
      <c r="AM21" s="122">
        <v>0</v>
      </c>
      <c r="AN21" s="122"/>
      <c r="AO21" s="122">
        <v>4978740.3066761103</v>
      </c>
      <c r="AP21" s="110"/>
    </row>
    <row r="22" spans="1:42" s="123" customFormat="1" ht="18.75" customHeight="1" x14ac:dyDescent="0.25">
      <c r="A22" s="65"/>
      <c r="B22" s="66" t="s">
        <v>42</v>
      </c>
      <c r="C22" s="120">
        <v>3363318.156820091</v>
      </c>
      <c r="D22" s="120">
        <v>3763456.5441946932</v>
      </c>
      <c r="E22" s="120">
        <v>4021623.3556001969</v>
      </c>
      <c r="F22" s="120">
        <v>3147053.7169493106</v>
      </c>
      <c r="G22" s="120">
        <v>3215613.2317760661</v>
      </c>
      <c r="H22" s="120">
        <v>3153512.0384622691</v>
      </c>
      <c r="I22" s="120">
        <v>3366330.3524087435</v>
      </c>
      <c r="J22" s="120">
        <v>3738769.408084081</v>
      </c>
      <c r="K22" s="120">
        <v>3957799.9376125699</v>
      </c>
      <c r="L22" s="120">
        <v>3714314.8485608459</v>
      </c>
      <c r="M22" s="120">
        <v>3612843.2582720541</v>
      </c>
      <c r="N22" s="120">
        <v>3346297.9625858888</v>
      </c>
      <c r="O22" s="120">
        <v>3126295.4051634553</v>
      </c>
      <c r="P22" s="120">
        <v>3409473.123183229</v>
      </c>
      <c r="Q22" s="120">
        <v>3266946</v>
      </c>
      <c r="R22" s="120">
        <v>2052289.2086467701</v>
      </c>
      <c r="S22" s="120">
        <v>2111308</v>
      </c>
      <c r="T22" s="120">
        <v>1745665.3863267999</v>
      </c>
      <c r="U22" s="120">
        <v>1958583.183027056</v>
      </c>
      <c r="V22" s="120">
        <v>2100257.3383137216</v>
      </c>
      <c r="W22" s="120">
        <v>2432880.7289244677</v>
      </c>
      <c r="X22" s="120">
        <v>3208618.9794338695</v>
      </c>
      <c r="Y22" s="120">
        <v>2618568.5436804388</v>
      </c>
      <c r="Z22" s="120">
        <v>3245208.9964119145</v>
      </c>
      <c r="AA22" s="120">
        <v>2391413.6992668733</v>
      </c>
      <c r="AB22" s="120">
        <v>3130656.6343358797</v>
      </c>
      <c r="AC22" s="120">
        <v>2610956.939878779</v>
      </c>
      <c r="AD22" s="120">
        <v>2310930.6628777776</v>
      </c>
      <c r="AE22" s="120">
        <v>2164945.5992620415</v>
      </c>
      <c r="AF22" s="120">
        <v>2589257.0427362057</v>
      </c>
      <c r="AG22" s="120">
        <v>3702190.812169069</v>
      </c>
      <c r="AH22" s="120">
        <v>2621336.3996474035</v>
      </c>
      <c r="AI22" s="120">
        <v>1957215.8384221836</v>
      </c>
      <c r="AJ22" s="120">
        <v>1674561.3706681589</v>
      </c>
      <c r="AK22" s="120">
        <v>1141470.5727646363</v>
      </c>
      <c r="AL22" s="120">
        <v>395391.28333522094</v>
      </c>
      <c r="AM22" s="120">
        <v>-17959.090485425</v>
      </c>
      <c r="AN22" s="121"/>
      <c r="AO22" s="120">
        <v>82695295.81761229</v>
      </c>
    </row>
    <row r="23" spans="1:42" s="123" customFormat="1" ht="18.75" customHeight="1" x14ac:dyDescent="0.25">
      <c r="A23" s="65"/>
      <c r="B23" s="67" t="s">
        <v>43</v>
      </c>
      <c r="C23" s="122">
        <v>281996.24317990942</v>
      </c>
      <c r="D23" s="122">
        <v>-291728.54419469321</v>
      </c>
      <c r="E23" s="122">
        <v>-723481.75560019724</v>
      </c>
      <c r="F23" s="122">
        <v>151087.88305068901</v>
      </c>
      <c r="G23" s="122">
        <v>82528.368223933503</v>
      </c>
      <c r="H23" s="122">
        <v>-28956.838462268934</v>
      </c>
      <c r="I23" s="122">
        <v>105397.64759125654</v>
      </c>
      <c r="J23" s="122">
        <v>-93455.008084080648</v>
      </c>
      <c r="K23" s="122">
        <v>-312485.53761256952</v>
      </c>
      <c r="L23" s="122">
        <v>-69000.448560845573</v>
      </c>
      <c r="M23" s="122">
        <v>32471.141727946233</v>
      </c>
      <c r="N23" s="122">
        <v>299016.43741411157</v>
      </c>
      <c r="O23" s="122">
        <v>-519018.99483654508</v>
      </c>
      <c r="P23" s="122">
        <v>-223290.62681677099</v>
      </c>
      <c r="Q23" s="122">
        <v>631754</v>
      </c>
      <c r="R23" s="122">
        <v>-32542.941353230039</v>
      </c>
      <c r="S23" s="122">
        <v>-18360</v>
      </c>
      <c r="T23" s="122">
        <v>-47738.613673200132</v>
      </c>
      <c r="U23" s="122">
        <v>8256.3330270559527</v>
      </c>
      <c r="V23" s="122">
        <v>-141497.66168627841</v>
      </c>
      <c r="W23" s="122">
        <v>-145137.52107553231</v>
      </c>
      <c r="X23" s="122">
        <v>294337.47943386948</v>
      </c>
      <c r="Y23" s="122">
        <v>-295712.95631956123</v>
      </c>
      <c r="Z23" s="122">
        <v>443015.24641191447</v>
      </c>
      <c r="AA23" s="122">
        <v>-298692.3007331267</v>
      </c>
      <c r="AB23" s="122">
        <v>440550.6343358797</v>
      </c>
      <c r="AC23" s="122">
        <v>415412.31012122094</v>
      </c>
      <c r="AD23" s="122">
        <v>491263.08712222299</v>
      </c>
      <c r="AE23" s="122">
        <v>413072.65073795849</v>
      </c>
      <c r="AF23" s="122">
        <v>-11238.792736205272</v>
      </c>
      <c r="AG23" s="122">
        <v>-899997.06216906896</v>
      </c>
      <c r="AH23" s="122">
        <v>-267493.64964740351</v>
      </c>
      <c r="AI23" s="122">
        <v>5574.2415778161958</v>
      </c>
      <c r="AJ23" s="122">
        <v>-23314.57066815882</v>
      </c>
      <c r="AK23" s="122">
        <v>-214013.3727646363</v>
      </c>
      <c r="AL23" s="122">
        <v>-25928.963335220935</v>
      </c>
      <c r="AM23" s="122">
        <v>17959.090485425</v>
      </c>
      <c r="AN23" s="122"/>
      <c r="AO23" s="122">
        <v>-500832.91761232744</v>
      </c>
    </row>
    <row r="24" spans="1:42" s="123" customFormat="1" ht="18.75" customHeight="1" x14ac:dyDescent="0.25">
      <c r="A24" s="65"/>
      <c r="B24" s="67" t="s">
        <v>44</v>
      </c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>
        <v>382228</v>
      </c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>
        <v>382227.5</v>
      </c>
    </row>
    <row r="25" spans="1:42" s="123" customFormat="1" ht="18.75" customHeight="1" x14ac:dyDescent="0.25">
      <c r="A25" s="65"/>
      <c r="B25" s="66" t="s">
        <v>45</v>
      </c>
      <c r="C25" s="120">
        <v>3645314.4000000004</v>
      </c>
      <c r="D25" s="120">
        <v>3471728</v>
      </c>
      <c r="E25" s="120">
        <v>3298141.5999999996</v>
      </c>
      <c r="F25" s="120">
        <v>3298141.5999999996</v>
      </c>
      <c r="G25" s="120">
        <v>3298141.5999999996</v>
      </c>
      <c r="H25" s="120">
        <v>3124555.2</v>
      </c>
      <c r="I25" s="120">
        <v>3471728</v>
      </c>
      <c r="J25" s="120">
        <v>3645314.4000000004</v>
      </c>
      <c r="K25" s="120">
        <v>3645314.4000000004</v>
      </c>
      <c r="L25" s="120">
        <v>3645314.4000000004</v>
      </c>
      <c r="M25" s="120">
        <v>3645314.4000000004</v>
      </c>
      <c r="N25" s="120">
        <v>3645314.4000000004</v>
      </c>
      <c r="O25" s="120">
        <v>3645314.4000000004</v>
      </c>
      <c r="P25" s="120">
        <v>3632763.75</v>
      </c>
      <c r="Q25" s="120">
        <v>2252965</v>
      </c>
      <c r="R25" s="120">
        <v>2084832.1500000001</v>
      </c>
      <c r="S25" s="120">
        <v>2129667</v>
      </c>
      <c r="T25" s="120">
        <v>1793404</v>
      </c>
      <c r="U25" s="120">
        <v>1950326.85</v>
      </c>
      <c r="V25" s="120">
        <v>2241755</v>
      </c>
      <c r="W25" s="120">
        <v>2578018.25</v>
      </c>
      <c r="X25" s="120">
        <v>2914281.5</v>
      </c>
      <c r="Y25" s="120">
        <v>2914281.5</v>
      </c>
      <c r="Z25" s="120">
        <v>2802193.75</v>
      </c>
      <c r="AA25" s="120">
        <v>2690106</v>
      </c>
      <c r="AB25" s="120">
        <v>2690106</v>
      </c>
      <c r="AC25" s="120">
        <v>3026369.25</v>
      </c>
      <c r="AD25" s="120">
        <v>2802193.7500000005</v>
      </c>
      <c r="AE25" s="120">
        <v>2578018.25</v>
      </c>
      <c r="AF25" s="120">
        <v>2578018.2500000005</v>
      </c>
      <c r="AG25" s="120">
        <v>2802193.75</v>
      </c>
      <c r="AH25" s="120">
        <v>2353842.75</v>
      </c>
      <c r="AI25" s="120">
        <v>1962790.0799999998</v>
      </c>
      <c r="AJ25" s="120">
        <v>1651246.8</v>
      </c>
      <c r="AK25" s="120">
        <v>927457.2</v>
      </c>
      <c r="AL25" s="120">
        <v>369462.32</v>
      </c>
      <c r="AM25" s="120">
        <v>0</v>
      </c>
      <c r="AN25" s="121"/>
      <c r="AO25" s="120">
        <v>82576690.399999961</v>
      </c>
    </row>
    <row r="26" spans="1:42" ht="18.75" customHeight="1" x14ac:dyDescent="0.25">
      <c r="B26" s="14" t="s">
        <v>46</v>
      </c>
      <c r="C26" s="124">
        <v>1.05</v>
      </c>
      <c r="D26" s="124">
        <v>1</v>
      </c>
      <c r="E26" s="124">
        <v>0.94999999999999984</v>
      </c>
      <c r="F26" s="124">
        <v>0.94999999999999984</v>
      </c>
      <c r="G26" s="124">
        <v>0.94999999999999984</v>
      </c>
      <c r="H26" s="124">
        <v>0.9</v>
      </c>
      <c r="I26" s="124">
        <v>1</v>
      </c>
      <c r="J26" s="124">
        <v>1.05</v>
      </c>
      <c r="K26" s="124">
        <v>1.05</v>
      </c>
      <c r="L26" s="124">
        <v>1.05</v>
      </c>
      <c r="M26" s="124">
        <v>1.05</v>
      </c>
      <c r="N26" s="124">
        <v>1.05</v>
      </c>
      <c r="O26" s="124">
        <v>1.05</v>
      </c>
      <c r="P26" s="124">
        <v>1.05</v>
      </c>
      <c r="Q26" s="124">
        <v>0.95</v>
      </c>
      <c r="R26" s="124">
        <v>0.93</v>
      </c>
      <c r="S26" s="124">
        <v>0.95</v>
      </c>
      <c r="T26" s="124">
        <v>0.8</v>
      </c>
      <c r="U26" s="124">
        <v>0.87</v>
      </c>
      <c r="V26" s="124">
        <v>1</v>
      </c>
      <c r="W26" s="124">
        <v>1.1499999999999999</v>
      </c>
      <c r="X26" s="124">
        <v>1.3</v>
      </c>
      <c r="Y26" s="124">
        <v>1.3</v>
      </c>
      <c r="Z26" s="124">
        <v>1.25</v>
      </c>
      <c r="AA26" s="124">
        <v>1.2</v>
      </c>
      <c r="AB26" s="124">
        <v>1.2</v>
      </c>
      <c r="AC26" s="124">
        <v>1.35</v>
      </c>
      <c r="AD26" s="124">
        <v>1.2500000000000002</v>
      </c>
      <c r="AE26" s="124">
        <v>1.1499999999999999</v>
      </c>
      <c r="AF26" s="124">
        <v>1.1500000000000001</v>
      </c>
      <c r="AG26" s="124">
        <v>1.25</v>
      </c>
      <c r="AH26" s="124">
        <v>1.05</v>
      </c>
      <c r="AI26" s="124">
        <v>1.0879999999999999</v>
      </c>
      <c r="AJ26" s="124">
        <v>1.2</v>
      </c>
      <c r="AK26" s="124">
        <v>1.2</v>
      </c>
      <c r="AL26" s="124">
        <v>0.57999999999999996</v>
      </c>
      <c r="AM26" s="124">
        <v>0</v>
      </c>
      <c r="AN26" s="125">
        <v>9.9179999999999993</v>
      </c>
      <c r="AO26" s="124">
        <v>33.417999999999999</v>
      </c>
    </row>
    <row r="27" spans="1:42" ht="18.75" customHeight="1" x14ac:dyDescent="0.25">
      <c r="B27" s="15" t="s">
        <v>165</v>
      </c>
      <c r="C27" s="126">
        <v>0.1612679460569979</v>
      </c>
      <c r="D27" s="126">
        <v>0.16225149195007926</v>
      </c>
      <c r="E27" s="126">
        <v>0.14792686719661163</v>
      </c>
      <c r="F27" s="126">
        <v>0.1392656094721636</v>
      </c>
      <c r="G27" s="126">
        <v>0.14044779956449349</v>
      </c>
      <c r="H27" s="126">
        <v>0.12840641978712641</v>
      </c>
      <c r="I27" s="126">
        <v>0.13702151853789357</v>
      </c>
      <c r="J27" s="126">
        <v>0.1430771228751655</v>
      </c>
      <c r="K27" s="126">
        <v>0.14341861481175822</v>
      </c>
      <c r="L27" s="126">
        <v>0.13965664469931616</v>
      </c>
      <c r="M27" s="126">
        <v>0.13586692675633683</v>
      </c>
      <c r="N27" s="126">
        <v>0.13245775378997382</v>
      </c>
      <c r="O27" s="126">
        <v>0.13076899591211522</v>
      </c>
      <c r="P27" s="126">
        <v>0.12889842389141637</v>
      </c>
      <c r="Q27" s="126">
        <v>0.11550000000000001</v>
      </c>
      <c r="R27" s="126">
        <v>0.11506866619846701</v>
      </c>
      <c r="S27" s="126">
        <v>0.11849999999999999</v>
      </c>
      <c r="T27" s="126">
        <v>0.10188155685799782</v>
      </c>
      <c r="U27" s="126">
        <v>0.11349323783610443</v>
      </c>
      <c r="V27" s="126">
        <v>0.12886550648250794</v>
      </c>
      <c r="W27" s="126">
        <v>0.1502697907843864</v>
      </c>
      <c r="X27" s="126">
        <v>0.17322525419453449</v>
      </c>
      <c r="Y27" s="126">
        <v>0.17842467326251277</v>
      </c>
      <c r="Z27" s="126">
        <v>0.16351817254379086</v>
      </c>
      <c r="AA27" s="126">
        <v>0.16669820198428154</v>
      </c>
      <c r="AB27" s="126">
        <v>0.16555057258827377</v>
      </c>
      <c r="AC27" s="126">
        <v>0.17942952684495328</v>
      </c>
      <c r="AD27" s="126">
        <v>0.17166091215370227</v>
      </c>
      <c r="AE27" s="126">
        <v>0.15274395092446125</v>
      </c>
      <c r="AF27" s="126">
        <v>0.14873366096642959</v>
      </c>
      <c r="AG27" s="126">
        <v>0.16170590558333009</v>
      </c>
      <c r="AH27" s="126">
        <v>0.13237436526579893</v>
      </c>
      <c r="AI27" s="126" t="s">
        <v>148</v>
      </c>
      <c r="AJ27" s="126" t="s">
        <v>148</v>
      </c>
      <c r="AK27" s="126" t="s">
        <v>148</v>
      </c>
      <c r="AL27" s="126" t="s">
        <v>148</v>
      </c>
      <c r="AM27" s="126" t="s">
        <v>148</v>
      </c>
      <c r="AN27" s="127"/>
      <c r="AO27" s="126"/>
    </row>
    <row r="28" spans="1:42" ht="18.75" customHeight="1" x14ac:dyDescent="0.25">
      <c r="B28" s="15" t="s">
        <v>164</v>
      </c>
      <c r="C28" s="126">
        <v>1.2537313432835928E-2</v>
      </c>
      <c r="D28" s="126">
        <v>1.2608750472828056E-2</v>
      </c>
      <c r="E28" s="126">
        <v>1.1562804284323214E-2</v>
      </c>
      <c r="F28" s="126">
        <v>1.0924563017479239E-2</v>
      </c>
      <c r="G28" s="126">
        <v>1.101193926046129E-2</v>
      </c>
      <c r="H28" s="126">
        <v>1.0118043844856706E-2</v>
      </c>
      <c r="I28" s="126">
        <v>1.075847229693383E-2</v>
      </c>
      <c r="J28" s="126">
        <v>1.1205976520811012E-2</v>
      </c>
      <c r="K28" s="126">
        <v>1.1231147716333378E-2</v>
      </c>
      <c r="L28" s="126">
        <v>1.0953473815981551E-2</v>
      </c>
      <c r="M28" s="126">
        <v>1.0672900996137491E-2</v>
      </c>
      <c r="N28" s="126">
        <v>1.0419767788032219E-2</v>
      </c>
      <c r="O28" s="126">
        <v>1.0294117647058787E-2</v>
      </c>
      <c r="P28" s="126">
        <v>1.015473887814311E-2</v>
      </c>
      <c r="Q28" s="126">
        <v>9.1999999999999998E-3</v>
      </c>
      <c r="R28" s="126">
        <v>9.1176470588234526E-3</v>
      </c>
      <c r="S28" s="126">
        <v>9.4000000000000004E-3</v>
      </c>
      <c r="T28" s="126">
        <v>8.1177067478437337E-3</v>
      </c>
      <c r="U28" s="126">
        <v>8.9987587918907153E-3</v>
      </c>
      <c r="V28" s="126">
        <v>1.0152284263959421E-2</v>
      </c>
      <c r="W28" s="126">
        <v>1.1734693877551106E-2</v>
      </c>
      <c r="X28" s="126">
        <v>1.3402061855670055E-2</v>
      </c>
      <c r="Y28" s="126">
        <v>1.3775564268305507E-2</v>
      </c>
      <c r="Z28" s="126">
        <v>1.270067059540736E-2</v>
      </c>
      <c r="AA28" s="126">
        <v>1.2931034482758674E-2</v>
      </c>
      <c r="AB28" s="126">
        <v>1.2847965738758127E-2</v>
      </c>
      <c r="AC28" s="126">
        <v>1.3847574110165128E-2</v>
      </c>
      <c r="AD28" s="126">
        <v>1.3289389751222735E-2</v>
      </c>
      <c r="AE28" s="126">
        <v>1.1915863641073443E-2</v>
      </c>
      <c r="AF28" s="126">
        <v>1.1622031328954119E-2</v>
      </c>
      <c r="AG28" s="126">
        <v>1.2569130216188995E-2</v>
      </c>
      <c r="AH28" s="126">
        <v>1.0413567390657574E-2</v>
      </c>
      <c r="AI28" s="126" t="s">
        <v>148</v>
      </c>
      <c r="AJ28" s="126" t="s">
        <v>148</v>
      </c>
      <c r="AK28" s="126" t="s">
        <v>148</v>
      </c>
      <c r="AL28" s="126" t="s">
        <v>148</v>
      </c>
      <c r="AM28" s="126" t="s">
        <v>148</v>
      </c>
      <c r="AN28" s="127"/>
      <c r="AO28" s="126"/>
    </row>
    <row r="29" spans="1:42" ht="18.75" customHeight="1" x14ac:dyDescent="0.25">
      <c r="B29" s="15" t="s">
        <v>163</v>
      </c>
      <c r="C29" s="126">
        <v>0.13602142597694211</v>
      </c>
      <c r="D29" s="126">
        <v>0.12850969045930127</v>
      </c>
      <c r="E29" s="126">
        <v>0.12332938026133755</v>
      </c>
      <c r="F29" s="126">
        <v>0.12156588967108517</v>
      </c>
      <c r="G29" s="126">
        <v>0.12106007618370307</v>
      </c>
      <c r="H29" s="126">
        <v>0.11424285468017037</v>
      </c>
      <c r="I29" s="126">
        <v>0.12702554147445722</v>
      </c>
      <c r="J29" s="126">
        <v>0.13367747109072403</v>
      </c>
      <c r="K29" s="126">
        <v>0.1344449993973913</v>
      </c>
      <c r="L29" s="126">
        <v>0.13385055982349514</v>
      </c>
      <c r="M29" s="126">
        <v>0.13404797199866447</v>
      </c>
      <c r="N29" s="126">
        <v>0.13287551933891373</v>
      </c>
      <c r="O29" s="126">
        <v>0.13240673068358788</v>
      </c>
      <c r="P29" s="126">
        <v>0.1319958765459941</v>
      </c>
      <c r="Q29" s="126">
        <v>0.1179</v>
      </c>
      <c r="R29" s="126">
        <v>0.11590593920843917</v>
      </c>
      <c r="S29" s="126">
        <v>0.1207</v>
      </c>
      <c r="T29" s="126">
        <v>9.9098705358304784E-2</v>
      </c>
      <c r="U29" s="126">
        <v>0.10744490905010862</v>
      </c>
      <c r="V29" s="126">
        <v>0.12400640140055308</v>
      </c>
      <c r="W29" s="126">
        <v>0.14414297172565171</v>
      </c>
      <c r="X29" s="126">
        <v>0.16514656066898525</v>
      </c>
      <c r="Y29" s="126">
        <v>0.16532600221613247</v>
      </c>
      <c r="Z29" s="126">
        <v>0.15802246668575948</v>
      </c>
      <c r="AA29" s="126">
        <v>0.15196486011722143</v>
      </c>
      <c r="AB29" s="126">
        <v>0.15219520318312041</v>
      </c>
      <c r="AC29" s="126">
        <v>0.17350892857446909</v>
      </c>
      <c r="AD29" s="126">
        <v>0.15949470339108029</v>
      </c>
      <c r="AE29" s="126">
        <v>0.14447585287774078</v>
      </c>
      <c r="AF29" s="126">
        <v>0.1448185529728272</v>
      </c>
      <c r="AG29" s="126">
        <v>0.15843584984066128</v>
      </c>
      <c r="AH29" s="126">
        <v>0.1324078582744368</v>
      </c>
      <c r="AI29" s="126">
        <v>0.13508539012875631</v>
      </c>
      <c r="AJ29" s="126">
        <v>0.14992322312988526</v>
      </c>
      <c r="AK29" s="126">
        <v>0.15027280900047701</v>
      </c>
      <c r="AL29" s="126">
        <v>7.0024234301128807E-2</v>
      </c>
      <c r="AM29" s="126" t="s">
        <v>148</v>
      </c>
      <c r="AN29" s="127"/>
      <c r="AO29" s="126"/>
    </row>
    <row r="30" spans="1:42" ht="18.75" customHeight="1" x14ac:dyDescent="0.25">
      <c r="B30" s="15" t="s">
        <v>162</v>
      </c>
      <c r="C30" s="126">
        <v>1.0684356155634234E-2</v>
      </c>
      <c r="D30" s="126">
        <v>1.0125747274530195E-2</v>
      </c>
      <c r="E30" s="126">
        <v>9.7385251903141512E-3</v>
      </c>
      <c r="F30" s="126">
        <v>9.6063328177382612E-3</v>
      </c>
      <c r="G30" s="126">
        <v>9.5683815559637342E-3</v>
      </c>
      <c r="H30" s="126">
        <v>9.0553471602285995E-3</v>
      </c>
      <c r="I30" s="126">
        <v>1.0014975701317042E-2</v>
      </c>
      <c r="J30" s="126">
        <v>1.051041270755837E-2</v>
      </c>
      <c r="K30" s="126">
        <v>1.0567406782151734E-2</v>
      </c>
      <c r="L30" s="126">
        <v>1.052326878382015E-2</v>
      </c>
      <c r="M30" s="126">
        <v>1.0537929275411084E-2</v>
      </c>
      <c r="N30" s="126">
        <v>1.0450824665031E-2</v>
      </c>
      <c r="O30" s="126">
        <v>1.0415973987940808E-2</v>
      </c>
      <c r="P30" s="126">
        <v>1.0385419401485851E-2</v>
      </c>
      <c r="Q30" s="126">
        <v>9.2999999999999992E-3</v>
      </c>
      <c r="R30" s="126">
        <v>9.1807684581763915E-3</v>
      </c>
      <c r="S30" s="126">
        <v>9.4999999999999998E-3</v>
      </c>
      <c r="T30" s="126">
        <v>7.9052901985143809E-3</v>
      </c>
      <c r="U30" s="126">
        <v>8.540890228893927E-3</v>
      </c>
      <c r="V30" s="126">
        <v>9.7892245943991263E-3</v>
      </c>
      <c r="W30" s="126">
        <v>1.1284516889807694E-2</v>
      </c>
      <c r="X30" s="126">
        <v>1.2818704340395115E-2</v>
      </c>
      <c r="Y30" s="126">
        <v>1.2831701913268656E-2</v>
      </c>
      <c r="Z30" s="126">
        <v>1.2301193230331853E-2</v>
      </c>
      <c r="AA30" s="126">
        <v>1.1858853389928425E-2</v>
      </c>
      <c r="AB30" s="126">
        <v>1.1875712506092651E-2</v>
      </c>
      <c r="AC30" s="126">
        <v>1.3422478817882721E-2</v>
      </c>
      <c r="AD30" s="126">
        <v>1.2408378777369444E-2</v>
      </c>
      <c r="AE30" s="126">
        <v>1.130903252300719E-2</v>
      </c>
      <c r="AF30" s="126">
        <v>1.133426446250696E-2</v>
      </c>
      <c r="AG30" s="126">
        <v>1.2331302016492351E-2</v>
      </c>
      <c r="AH30" s="126">
        <v>1.0416057831143632E-2</v>
      </c>
      <c r="AI30" s="126">
        <v>1.0614933004495786E-2</v>
      </c>
      <c r="AJ30" s="126">
        <v>1.1709288029873255E-2</v>
      </c>
      <c r="AK30" s="126">
        <v>1.1734915103206456E-2</v>
      </c>
      <c r="AL30" s="126">
        <v>5.6560434460035669E-3</v>
      </c>
      <c r="AM30" s="126" t="s">
        <v>148</v>
      </c>
      <c r="AN30" s="127"/>
      <c r="AO30" s="126"/>
    </row>
    <row r="31" spans="1:42" ht="18.75" customHeight="1" x14ac:dyDescent="0.25">
      <c r="AN31" s="116"/>
    </row>
    <row r="32" spans="1:42" ht="18.75" customHeight="1" x14ac:dyDescent="0.25">
      <c r="B32" s="11" t="s">
        <v>47</v>
      </c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6"/>
    </row>
    <row r="33" spans="2:45" ht="18.75" customHeight="1" x14ac:dyDescent="0.25">
      <c r="B33" s="9"/>
      <c r="C33" s="108">
        <v>45689</v>
      </c>
      <c r="D33" s="108">
        <v>45658</v>
      </c>
      <c r="E33" s="108">
        <v>45627</v>
      </c>
      <c r="F33" s="108">
        <v>45597</v>
      </c>
      <c r="G33" s="108">
        <v>45566</v>
      </c>
      <c r="H33" s="108">
        <v>45536</v>
      </c>
      <c r="I33" s="108">
        <v>45505</v>
      </c>
      <c r="J33" s="108">
        <v>45474</v>
      </c>
      <c r="K33" s="108">
        <v>45444</v>
      </c>
      <c r="L33" s="108">
        <v>45413</v>
      </c>
      <c r="M33" s="108">
        <v>45383</v>
      </c>
      <c r="N33" s="108">
        <v>45352</v>
      </c>
      <c r="O33" s="108">
        <v>45323</v>
      </c>
      <c r="P33" s="108">
        <v>45292</v>
      </c>
      <c r="Q33" s="108">
        <v>45261</v>
      </c>
      <c r="R33" s="108">
        <v>45231</v>
      </c>
      <c r="S33" s="108">
        <v>45200</v>
      </c>
      <c r="T33" s="108">
        <v>45170</v>
      </c>
      <c r="U33" s="108">
        <v>45139</v>
      </c>
      <c r="V33" s="108">
        <v>45108</v>
      </c>
      <c r="W33" s="108">
        <v>45078</v>
      </c>
      <c r="X33" s="108">
        <v>45047</v>
      </c>
      <c r="Y33" s="108">
        <v>45017</v>
      </c>
      <c r="Z33" s="108">
        <v>44986</v>
      </c>
      <c r="AA33" s="108">
        <v>44958</v>
      </c>
      <c r="AB33" s="108">
        <v>44927</v>
      </c>
      <c r="AC33" s="108">
        <v>44896</v>
      </c>
      <c r="AD33" s="108">
        <v>44866</v>
      </c>
      <c r="AE33" s="108">
        <v>44835</v>
      </c>
      <c r="AF33" s="108">
        <v>44805</v>
      </c>
      <c r="AG33" s="108">
        <v>44774</v>
      </c>
      <c r="AH33" s="108">
        <v>44743</v>
      </c>
      <c r="AI33" s="108">
        <v>44713</v>
      </c>
      <c r="AJ33" s="108">
        <v>44682</v>
      </c>
      <c r="AK33" s="108">
        <v>44652</v>
      </c>
      <c r="AL33" s="108">
        <v>44621</v>
      </c>
      <c r="AM33" s="108">
        <v>44593</v>
      </c>
      <c r="AN33" s="109"/>
      <c r="AO33" s="109"/>
      <c r="AS33" s="111"/>
    </row>
    <row r="34" spans="2:45" ht="18.75" customHeight="1" x14ac:dyDescent="0.25">
      <c r="B34" s="16" t="s">
        <v>48</v>
      </c>
      <c r="C34" s="128">
        <v>1.0147455732278219</v>
      </c>
      <c r="D34" s="128">
        <v>1.0229785918318242</v>
      </c>
      <c r="E34" s="128">
        <v>1.1237386281413753</v>
      </c>
      <c r="F34" s="128">
        <v>0.94690265101532156</v>
      </c>
      <c r="G34" s="128">
        <v>0.96083348462271523</v>
      </c>
      <c r="H34" s="128">
        <v>0.94506570003237578</v>
      </c>
      <c r="I34" s="128">
        <v>0.97559353240547653</v>
      </c>
      <c r="J34" s="128">
        <v>1.0776120107943363</v>
      </c>
      <c r="K34" s="128">
        <v>0.93176957706306496</v>
      </c>
      <c r="L34" s="128">
        <v>0.86283581581794433</v>
      </c>
      <c r="M34" s="128">
        <v>0.85493534927275416</v>
      </c>
      <c r="N34" s="128">
        <v>0.7930927640679224</v>
      </c>
      <c r="O34" s="128">
        <v>0.75410600514527626</v>
      </c>
      <c r="P34" s="128">
        <v>0.90256103281013367</v>
      </c>
      <c r="Q34" s="128">
        <v>0.95455356076448561</v>
      </c>
      <c r="R34" s="128">
        <v>0.95043707323547844</v>
      </c>
      <c r="S34" s="128">
        <v>0.96739783616229247</v>
      </c>
      <c r="T34" s="128">
        <v>0.79596501140490372</v>
      </c>
      <c r="U34" s="128">
        <v>0.92870826768357817</v>
      </c>
      <c r="V34" s="128">
        <v>0.98695303452250582</v>
      </c>
      <c r="W34" s="128">
        <v>1.14020446965614</v>
      </c>
      <c r="X34" s="128">
        <v>1.5168524552799034</v>
      </c>
      <c r="Y34" s="128">
        <v>1.2176140914475491</v>
      </c>
      <c r="Z34" s="128">
        <v>1.4725433294026333</v>
      </c>
      <c r="AA34" s="128">
        <v>1.109764622609072</v>
      </c>
      <c r="AB34" s="128">
        <v>1.2350791568699524</v>
      </c>
      <c r="AC34" s="128">
        <v>1.1594451222368189</v>
      </c>
      <c r="AD34" s="128">
        <v>1.1172784670938616</v>
      </c>
      <c r="AE34" s="128">
        <v>1.0736475122326035</v>
      </c>
      <c r="AF34" s="128">
        <v>1.096514331051434</v>
      </c>
      <c r="AG34" s="128">
        <v>1.3963460180824991</v>
      </c>
      <c r="AH34" s="128">
        <v>1.0224964073638736</v>
      </c>
      <c r="AI34" s="128">
        <v>1.0124202963490176</v>
      </c>
      <c r="AJ34" s="128">
        <v>1.1638888909355041</v>
      </c>
      <c r="AK34" s="128">
        <v>1.3409091296072746</v>
      </c>
      <c r="AL34" s="128">
        <v>0.53588550464361295</v>
      </c>
      <c r="AM34" s="128">
        <v>0</v>
      </c>
      <c r="AO34" s="128"/>
    </row>
    <row r="35" spans="2:45" ht="18.75" customHeight="1" x14ac:dyDescent="0.25">
      <c r="B35" s="16" t="s">
        <v>161</v>
      </c>
      <c r="C35" s="128">
        <v>7.8762602211643995E-2</v>
      </c>
      <c r="D35" s="128">
        <v>0.14228908485918251</v>
      </c>
      <c r="E35" s="128">
        <v>8.9886455720422226E-2</v>
      </c>
      <c r="F35" s="128">
        <v>7.909486382089842E-2</v>
      </c>
      <c r="G35" s="128">
        <v>9.8956094967326075E-2</v>
      </c>
      <c r="H35" s="128">
        <v>9.5698070240525748E-2</v>
      </c>
      <c r="I35" s="128">
        <v>0.1346650601660038</v>
      </c>
      <c r="J35" s="128">
        <v>0.1434736563463497</v>
      </c>
      <c r="K35" s="128">
        <v>0.14079819041123037</v>
      </c>
      <c r="L35" s="128">
        <v>0.21834188911112853</v>
      </c>
      <c r="M35" s="128">
        <v>0.32590862533009501</v>
      </c>
      <c r="N35" s="128">
        <v>0.29931963015365121</v>
      </c>
      <c r="O35" s="128">
        <v>0.26809399291212471</v>
      </c>
      <c r="P35" s="128">
        <v>0.21342224054706591</v>
      </c>
      <c r="Q35" s="128">
        <v>0.17190360828937459</v>
      </c>
      <c r="R35" s="128">
        <v>6.3146698634485035E-2</v>
      </c>
      <c r="S35" s="128">
        <v>7.2950483062488983E-2</v>
      </c>
      <c r="T35" s="128">
        <v>6.4390537095913691E-2</v>
      </c>
      <c r="U35" s="128">
        <v>5.3911309258382389E-2</v>
      </c>
      <c r="V35" s="128">
        <v>4.9514643331820388E-2</v>
      </c>
      <c r="W35" s="128">
        <v>5.1343390037113787E-2</v>
      </c>
      <c r="X35" s="128">
        <v>1.3658669212291263E-2</v>
      </c>
      <c r="Y35" s="128">
        <v>5.4906616397866856E-2</v>
      </c>
      <c r="Z35" s="128">
        <v>5.6308152141949057E-2</v>
      </c>
      <c r="AA35" s="128">
        <v>6.4610002563594143E-2</v>
      </c>
      <c r="AB35" s="128">
        <v>8.4751816834622892E-2</v>
      </c>
      <c r="AC35" s="128">
        <v>0.15433876583301923</v>
      </c>
      <c r="AD35" s="128">
        <v>2.8363548814656376E-2</v>
      </c>
      <c r="AE35" s="128">
        <v>1.5828201578461966E-2</v>
      </c>
      <c r="AF35" s="128">
        <v>7.6549932088107314E-2</v>
      </c>
      <c r="AG35" s="128">
        <v>5.9297719866800783E-2</v>
      </c>
      <c r="AH35" s="128">
        <v>0.15914978633811458</v>
      </c>
      <c r="AI35" s="128">
        <v>0.17618423145892403</v>
      </c>
      <c r="AJ35" s="128">
        <v>0.15350501693629323</v>
      </c>
      <c r="AK35" s="128">
        <v>0.10387436099477151</v>
      </c>
      <c r="AL35" s="128">
        <v>0.17683932910939335</v>
      </c>
      <c r="AM35" s="128">
        <v>9.8767853885873488E-2</v>
      </c>
      <c r="AO35" s="128"/>
    </row>
    <row r="36" spans="2:45" ht="18.75" customHeight="1" x14ac:dyDescent="0.25">
      <c r="B36" s="16" t="s">
        <v>49</v>
      </c>
      <c r="C36" s="128">
        <v>3.2452342533366217E-3</v>
      </c>
      <c r="D36" s="128">
        <v>5.7413427414698869E-2</v>
      </c>
      <c r="E36" s="128">
        <v>7.1639483408506302E-2</v>
      </c>
      <c r="F36" s="128">
        <v>2.894650308634806E-3</v>
      </c>
      <c r="G36" s="128">
        <v>1.4646332951513349E-2</v>
      </c>
      <c r="H36" s="128">
        <v>3.2713063408968809E-3</v>
      </c>
      <c r="I36" s="128">
        <v>2.2725626367455561E-3</v>
      </c>
      <c r="J36" s="128">
        <v>4.6022030162159661E-3</v>
      </c>
      <c r="K36" s="128">
        <v>0.19649020239332382</v>
      </c>
      <c r="L36" s="128">
        <v>0.1245005131112937</v>
      </c>
      <c r="M36" s="128">
        <v>2.2853541556405173E-3</v>
      </c>
      <c r="N36" s="128">
        <v>4.2848276189303841E-3</v>
      </c>
      <c r="O36" s="128">
        <v>3.701963491273151E-3</v>
      </c>
      <c r="P36" s="128">
        <v>7.2895993536642003E-3</v>
      </c>
      <c r="Q36" s="128">
        <v>0.39713125559908052</v>
      </c>
      <c r="R36" s="128">
        <v>3.2905161419700367E-2</v>
      </c>
      <c r="S36" s="128">
        <v>3.8231379264233346E-2</v>
      </c>
      <c r="T36" s="128">
        <v>5.0496099572589236E-2</v>
      </c>
      <c r="U36" s="128">
        <v>4.3540125178501331E-2</v>
      </c>
      <c r="V36" s="128">
        <v>3.929249589959484E-2</v>
      </c>
      <c r="W36" s="128">
        <v>3.2213063745956796E-2</v>
      </c>
      <c r="X36" s="128">
        <v>4.7699259530086767E-2</v>
      </c>
      <c r="Y36" s="128">
        <v>2.8401004688040472E-2</v>
      </c>
      <c r="Z36" s="128">
        <v>7.0312145351271352E-2</v>
      </c>
      <c r="AA36" s="128">
        <v>1.0888349267838382E-2</v>
      </c>
      <c r="AB36" s="128">
        <v>0.22524870018301682</v>
      </c>
      <c r="AC36" s="128">
        <v>-6.3189783059306717E-4</v>
      </c>
      <c r="AD36" s="128">
        <v>1.1820345946331589E-2</v>
      </c>
      <c r="AE36" s="128">
        <v>1.5330184804260814E-4</v>
      </c>
      <c r="AF36" s="128">
        <v>0.11184515592552399</v>
      </c>
      <c r="AG36" s="128">
        <v>0.34237905732636309</v>
      </c>
      <c r="AH36" s="128">
        <v>0.11257484791380119</v>
      </c>
      <c r="AI36" s="128">
        <v>4.118307703888084E-3</v>
      </c>
      <c r="AJ36" s="128">
        <v>5.7345483180411168E-3</v>
      </c>
      <c r="AK36" s="128">
        <v>0.15838406053404225</v>
      </c>
      <c r="AL36" s="128">
        <v>7.0453716407132957E-3</v>
      </c>
      <c r="AM36" s="128">
        <v>0</v>
      </c>
      <c r="AO36" s="128"/>
    </row>
    <row r="37" spans="2:45" ht="18.75" customHeight="1" x14ac:dyDescent="0.25">
      <c r="B37" s="16" t="s">
        <v>38</v>
      </c>
      <c r="C37" s="128">
        <v>-0.12797988918080055</v>
      </c>
      <c r="D37" s="128">
        <v>-0.13865132291469839</v>
      </c>
      <c r="E37" s="128">
        <v>-0.12687215991575379</v>
      </c>
      <c r="F37" s="128">
        <v>-0.12241166985567585</v>
      </c>
      <c r="G37" s="128">
        <v>-0.14820746613790023</v>
      </c>
      <c r="H37" s="128">
        <v>-0.13569431994672393</v>
      </c>
      <c r="I37" s="128">
        <v>-0.1428899988708793</v>
      </c>
      <c r="J37" s="128">
        <v>-0.14876899630385793</v>
      </c>
      <c r="K37" s="128">
        <v>-0.1290493235645189</v>
      </c>
      <c r="L37" s="128">
        <v>-0.13580325993280579</v>
      </c>
      <c r="M37" s="128">
        <v>-0.14248234884760555</v>
      </c>
      <c r="N37" s="128">
        <v>-0.13282621507214851</v>
      </c>
      <c r="O37" s="128">
        <v>-0.12540071111561735</v>
      </c>
      <c r="P37" s="128">
        <v>-0.13781193285690543</v>
      </c>
      <c r="Q37" s="128">
        <v>-0.14602643905667001</v>
      </c>
      <c r="R37" s="128">
        <v>-0.13100565851308463</v>
      </c>
      <c r="S37" s="128">
        <v>-0.13676954885792605</v>
      </c>
      <c r="T37" s="128">
        <v>-0.13214684477117258</v>
      </c>
      <c r="U37" s="128">
        <v>-0.15247672470898918</v>
      </c>
      <c r="V37" s="128">
        <v>-0.13887931999705588</v>
      </c>
      <c r="W37" s="128">
        <v>-0.13850373479706748</v>
      </c>
      <c r="X37" s="128">
        <v>-0.14691259303536738</v>
      </c>
      <c r="Y37" s="128">
        <v>-0.1328330749792016</v>
      </c>
      <c r="Z37" s="128">
        <v>-0.15154379492852699</v>
      </c>
      <c r="AA37" s="128">
        <v>-0.11850336009064327</v>
      </c>
      <c r="AB37" s="128">
        <v>-0.15053964862351149</v>
      </c>
      <c r="AC37" s="128">
        <v>-0.1519484555627176</v>
      </c>
      <c r="AD37" s="128">
        <v>-0.13133005167826101</v>
      </c>
      <c r="AE37" s="128">
        <v>-0.14246532738858617</v>
      </c>
      <c r="AF37" s="128">
        <v>-0.14777208035668482</v>
      </c>
      <c r="AG37" s="128">
        <v>-0.14620937167531689</v>
      </c>
      <c r="AH37" s="128">
        <v>-0.12842037153926278</v>
      </c>
      <c r="AI37" s="128">
        <v>-0.12535698032466111</v>
      </c>
      <c r="AJ37" s="128">
        <v>-0.11117896367762832</v>
      </c>
      <c r="AK37" s="128">
        <v>-0.12402438409017688</v>
      </c>
      <c r="AL37" s="128">
        <v>-9.1618278692127519E-2</v>
      </c>
      <c r="AM37" s="128">
        <v>-0.20727947974515565</v>
      </c>
      <c r="AO37" s="128"/>
    </row>
    <row r="38" spans="2:45" ht="18.75" customHeight="1" x14ac:dyDescent="0.3">
      <c r="B38" s="16" t="s">
        <v>41</v>
      </c>
      <c r="C38" s="129">
        <v>0</v>
      </c>
      <c r="D38" s="129">
        <v>0</v>
      </c>
      <c r="E38" s="129">
        <v>0</v>
      </c>
      <c r="F38" s="129">
        <v>0</v>
      </c>
      <c r="G38" s="129">
        <v>0</v>
      </c>
      <c r="H38" s="129">
        <v>0</v>
      </c>
      <c r="I38" s="129">
        <v>0</v>
      </c>
      <c r="J38" s="129">
        <v>0</v>
      </c>
      <c r="K38" s="129">
        <v>0</v>
      </c>
      <c r="L38" s="129">
        <v>0</v>
      </c>
      <c r="M38" s="129">
        <v>0</v>
      </c>
      <c r="N38" s="129">
        <v>0</v>
      </c>
      <c r="O38" s="129">
        <v>0</v>
      </c>
      <c r="P38" s="129">
        <v>0</v>
      </c>
      <c r="Q38" s="129">
        <v>0</v>
      </c>
      <c r="R38" s="129">
        <v>0</v>
      </c>
      <c r="S38" s="129">
        <v>0</v>
      </c>
      <c r="T38" s="129">
        <v>0</v>
      </c>
      <c r="U38" s="129">
        <v>0</v>
      </c>
      <c r="V38" s="129">
        <v>0</v>
      </c>
      <c r="W38" s="129">
        <v>0</v>
      </c>
      <c r="X38" s="128">
        <v>0</v>
      </c>
      <c r="Y38" s="128">
        <v>0</v>
      </c>
      <c r="Z38" s="128">
        <v>0</v>
      </c>
      <c r="AA38" s="128">
        <v>0</v>
      </c>
      <c r="AB38" s="128">
        <v>0</v>
      </c>
      <c r="AC38" s="128">
        <v>0</v>
      </c>
      <c r="AD38" s="128">
        <v>0</v>
      </c>
      <c r="AE38" s="128">
        <v>0</v>
      </c>
      <c r="AF38" s="128">
        <v>0</v>
      </c>
      <c r="AG38" s="128">
        <v>0</v>
      </c>
      <c r="AH38" s="128">
        <v>0</v>
      </c>
      <c r="AI38" s="128">
        <v>0</v>
      </c>
      <c r="AJ38" s="128">
        <v>0</v>
      </c>
      <c r="AK38" s="128">
        <v>0</v>
      </c>
      <c r="AL38" s="128">
        <v>0</v>
      </c>
      <c r="AM38" s="128">
        <v>0</v>
      </c>
      <c r="AO38" s="128"/>
    </row>
    <row r="39" spans="2:45" ht="18.75" customHeight="1" x14ac:dyDescent="0.25">
      <c r="B39" s="16" t="s">
        <v>43</v>
      </c>
      <c r="C39" s="128">
        <v>8.1226479487998313E-2</v>
      </c>
      <c r="D39" s="128">
        <v>-8.402978119100725E-2</v>
      </c>
      <c r="E39" s="128">
        <v>-0.20839240735455003</v>
      </c>
      <c r="F39" s="128">
        <v>4.3519504710820951E-2</v>
      </c>
      <c r="G39" s="128">
        <v>2.377155359634554E-2</v>
      </c>
      <c r="H39" s="128">
        <v>-8.3407566670744178E-3</v>
      </c>
      <c r="I39" s="128">
        <v>3.0358843662653449E-2</v>
      </c>
      <c r="J39" s="128">
        <v>-2.6918873853043972E-2</v>
      </c>
      <c r="K39" s="128">
        <v>-9.0008646303100223E-2</v>
      </c>
      <c r="L39" s="128">
        <v>-1.9874958107560722E-2</v>
      </c>
      <c r="M39" s="128">
        <v>9.3530200891159196E-3</v>
      </c>
      <c r="N39" s="128">
        <v>8.6128993231644746E-2</v>
      </c>
      <c r="O39" s="128">
        <v>0.14949874956694334</v>
      </c>
      <c r="P39" s="128">
        <v>6.4539060146041577E-2</v>
      </c>
      <c r="Q39" s="128">
        <v>-0.2663894236091755</v>
      </c>
      <c r="R39" s="128">
        <v>1.4516725223420953E-2</v>
      </c>
      <c r="S39" s="128">
        <v>8.189850368911275E-3</v>
      </c>
      <c r="T39" s="128">
        <v>2.1295196697765872E-2</v>
      </c>
      <c r="U39" s="128">
        <v>-3.6829774114726867E-3</v>
      </c>
      <c r="V39" s="128">
        <v>6.3119146243134694E-2</v>
      </c>
      <c r="W39" s="128">
        <v>6.4742811357856811E-2</v>
      </c>
      <c r="X39" s="128">
        <v>-0.13129779098691405</v>
      </c>
      <c r="Y39" s="128">
        <v>0.13191136244574506</v>
      </c>
      <c r="Z39" s="128">
        <v>-0.19761983196732671</v>
      </c>
      <c r="AA39" s="128">
        <v>0.13324038565013871</v>
      </c>
      <c r="AB39" s="128">
        <v>-0.19454002526408068</v>
      </c>
      <c r="AC39" s="128">
        <v>0.18879646532347241</v>
      </c>
      <c r="AD39" s="128">
        <v>0.22386768982341126</v>
      </c>
      <c r="AE39" s="128">
        <v>0.20283631172947816</v>
      </c>
      <c r="AF39" s="128">
        <v>1.2862661291619252E-2</v>
      </c>
      <c r="AG39" s="128">
        <v>-0.40181342360034616</v>
      </c>
      <c r="AH39" s="128">
        <v>-0.11580067007652657</v>
      </c>
      <c r="AI39" s="128">
        <v>2.0634144812831205E-2</v>
      </c>
      <c r="AJ39" s="128">
        <v>-1.1949492512209859E-2</v>
      </c>
      <c r="AK39" s="128">
        <v>-0.27914316704591147</v>
      </c>
      <c r="AL39" s="128">
        <v>-4.8151926701592032E-2</v>
      </c>
      <c r="AM39" s="128">
        <v>0.10851162585928217</v>
      </c>
      <c r="AO39" s="128"/>
    </row>
    <row r="40" spans="2:45" ht="18.75" customHeight="1" x14ac:dyDescent="0.3">
      <c r="B40" s="16" t="s">
        <v>44</v>
      </c>
      <c r="C40" s="128">
        <v>0</v>
      </c>
      <c r="D40" s="128">
        <v>0</v>
      </c>
      <c r="E40" s="128">
        <v>0</v>
      </c>
      <c r="F40" s="128">
        <v>0</v>
      </c>
      <c r="G40" s="128">
        <v>0</v>
      </c>
      <c r="H40" s="128">
        <v>0</v>
      </c>
      <c r="I40" s="128">
        <v>0</v>
      </c>
      <c r="J40" s="128">
        <v>0</v>
      </c>
      <c r="K40" s="128">
        <v>0</v>
      </c>
      <c r="L40" s="128">
        <v>0</v>
      </c>
      <c r="M40" s="128">
        <v>0</v>
      </c>
      <c r="N40" s="128">
        <v>0</v>
      </c>
      <c r="O40" s="128">
        <v>0</v>
      </c>
      <c r="P40" s="128">
        <v>0</v>
      </c>
      <c r="Q40" s="128">
        <v>-0.16117256198709531</v>
      </c>
      <c r="R40" s="128">
        <v>0</v>
      </c>
      <c r="S40" s="129">
        <v>0</v>
      </c>
      <c r="T40" s="128">
        <v>0</v>
      </c>
      <c r="U40" s="128">
        <v>0</v>
      </c>
      <c r="V40" s="128">
        <v>0</v>
      </c>
      <c r="W40" s="128">
        <v>0</v>
      </c>
      <c r="X40" s="128">
        <v>0</v>
      </c>
      <c r="Y40" s="128">
        <v>0</v>
      </c>
      <c r="Z40" s="128">
        <v>0</v>
      </c>
      <c r="AA40" s="128">
        <v>0</v>
      </c>
      <c r="AB40" s="128">
        <v>0</v>
      </c>
      <c r="AC40" s="128">
        <v>0</v>
      </c>
      <c r="AD40" s="128">
        <v>0</v>
      </c>
      <c r="AE40" s="128">
        <v>0</v>
      </c>
      <c r="AF40" s="128">
        <v>0</v>
      </c>
      <c r="AG40" s="128">
        <v>0</v>
      </c>
      <c r="AH40" s="128">
        <v>0</v>
      </c>
      <c r="AI40" s="128">
        <v>0</v>
      </c>
      <c r="AJ40" s="128">
        <v>0</v>
      </c>
      <c r="AK40" s="128">
        <v>0</v>
      </c>
      <c r="AL40" s="128">
        <v>0</v>
      </c>
      <c r="AM40" s="128">
        <v>0</v>
      </c>
      <c r="AO40" s="128"/>
    </row>
    <row r="41" spans="2:45" ht="18.75" customHeight="1" x14ac:dyDescent="0.25">
      <c r="B41" s="64" t="s">
        <v>50</v>
      </c>
      <c r="C41" s="130">
        <v>1.0500000000000003</v>
      </c>
      <c r="D41" s="130">
        <v>0.99999999999999989</v>
      </c>
      <c r="E41" s="130">
        <v>0.95</v>
      </c>
      <c r="F41" s="130">
        <v>0.95</v>
      </c>
      <c r="G41" s="130">
        <v>0.95000000000000007</v>
      </c>
      <c r="H41" s="130">
        <v>0.9</v>
      </c>
      <c r="I41" s="130">
        <v>0.99999999999999989</v>
      </c>
      <c r="J41" s="130">
        <v>1.0500000000000003</v>
      </c>
      <c r="K41" s="130">
        <v>1.05</v>
      </c>
      <c r="L41" s="130">
        <v>1.05</v>
      </c>
      <c r="M41" s="130">
        <v>1.05</v>
      </c>
      <c r="N41" s="130">
        <v>1.0500000000000003</v>
      </c>
      <c r="O41" s="130">
        <v>1.0500000000000003</v>
      </c>
      <c r="P41" s="130">
        <v>1.0499999999999998</v>
      </c>
      <c r="Q41" s="130">
        <v>0.95000000000000007</v>
      </c>
      <c r="R41" s="130">
        <v>0.93000000000000016</v>
      </c>
      <c r="S41" s="130">
        <v>0.95000000000000007</v>
      </c>
      <c r="T41" s="130">
        <v>0.8</v>
      </c>
      <c r="U41" s="130">
        <v>0.86999999999999988</v>
      </c>
      <c r="V41" s="130">
        <v>0.99999999999999978</v>
      </c>
      <c r="W41" s="130">
        <v>1.1499999999999999</v>
      </c>
      <c r="X41" s="130">
        <v>1.3</v>
      </c>
      <c r="Y41" s="130">
        <v>1.2999999999999998</v>
      </c>
      <c r="Z41" s="130">
        <v>1.25</v>
      </c>
      <c r="AA41" s="130">
        <v>1.2</v>
      </c>
      <c r="AB41" s="130">
        <v>1.1999999999999997</v>
      </c>
      <c r="AC41" s="130">
        <v>1.35</v>
      </c>
      <c r="AD41" s="130">
        <v>1.2499999999999998</v>
      </c>
      <c r="AE41" s="130">
        <v>1.1499999999999999</v>
      </c>
      <c r="AF41" s="130">
        <v>1.1499999999999997</v>
      </c>
      <c r="AG41" s="130">
        <v>1.25</v>
      </c>
      <c r="AH41" s="130">
        <v>1.05</v>
      </c>
      <c r="AI41" s="130">
        <v>1.0879999999999996</v>
      </c>
      <c r="AJ41" s="130">
        <v>1.2000000000000002</v>
      </c>
      <c r="AK41" s="130">
        <v>1.2</v>
      </c>
      <c r="AL41" s="130">
        <v>0.57999999999999996</v>
      </c>
      <c r="AM41" s="130">
        <v>1.3877787807814457E-17</v>
      </c>
      <c r="AO41" s="128"/>
    </row>
    <row r="43" spans="2:45" ht="18" customHeight="1" x14ac:dyDescent="0.25"/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F0AFC-451F-44A2-8EC2-1ADC7C724352}">
  <sheetPr codeName="Sheet3">
    <tabColor theme="1" tint="0.79998168889431442"/>
  </sheetPr>
  <dimension ref="A1:AG55"/>
  <sheetViews>
    <sheetView showGridLines="0" zoomScaleNormal="100" workbookViewId="0"/>
  </sheetViews>
  <sheetFormatPr defaultRowHeight="15" x14ac:dyDescent="0.25"/>
  <cols>
    <col min="1" max="1" width="4.7109375" customWidth="1"/>
    <col min="2" max="2" width="27.5703125" customWidth="1"/>
    <col min="3" max="4" width="12.42578125" customWidth="1"/>
    <col min="5" max="5" width="6.28515625" customWidth="1"/>
    <col min="6" max="6" width="0.28515625" customWidth="1"/>
    <col min="7" max="7" width="6" customWidth="1"/>
    <col min="8" max="8" width="24.28515625" customWidth="1"/>
    <col min="9" max="9" width="17.7109375" customWidth="1"/>
    <col min="10" max="10" width="3.5703125" customWidth="1"/>
    <col min="11" max="11" width="17.28515625" customWidth="1"/>
    <col min="12" max="12" width="20.7109375" customWidth="1"/>
    <col min="13" max="13" width="3.5703125" customWidth="1"/>
    <col min="14" max="14" width="17.28515625" customWidth="1"/>
    <col min="15" max="15" width="20.7109375" customWidth="1"/>
  </cols>
  <sheetData>
    <row r="1" spans="1:33" s="133" customFormat="1" ht="18.75" customHeight="1" x14ac:dyDescent="0.25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2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</row>
    <row r="2" spans="1:33" s="133" customFormat="1" ht="18.75" customHeight="1" x14ac:dyDescent="0.25">
      <c r="A2" s="131"/>
      <c r="B2" s="134" t="s">
        <v>160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6"/>
      <c r="T2" s="135"/>
      <c r="U2" s="135"/>
      <c r="V2" s="135"/>
      <c r="W2" s="131"/>
      <c r="X2" s="131"/>
      <c r="Y2" s="131"/>
      <c r="Z2" s="131"/>
      <c r="AA2" s="131"/>
      <c r="AB2" s="131"/>
      <c r="AC2" s="131"/>
      <c r="AD2" s="131"/>
      <c r="AE2" s="137"/>
      <c r="AF2" s="131"/>
      <c r="AG2" s="131"/>
    </row>
    <row r="3" spans="1:33" s="133" customFormat="1" ht="18.75" customHeight="1" x14ac:dyDescent="0.25">
      <c r="A3" s="131"/>
      <c r="B3" s="134" t="s">
        <v>72</v>
      </c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6"/>
      <c r="T3" s="135"/>
      <c r="U3" s="135"/>
      <c r="V3" s="135"/>
      <c r="W3" s="131"/>
      <c r="X3" s="131"/>
      <c r="Y3" s="131"/>
      <c r="Z3" s="131"/>
      <c r="AA3" s="131"/>
      <c r="AB3" s="131"/>
      <c r="AC3" s="131"/>
      <c r="AD3" s="131"/>
      <c r="AE3" s="137"/>
      <c r="AF3" s="131"/>
      <c r="AG3" s="131"/>
    </row>
    <row r="4" spans="1:33" s="133" customFormat="1" ht="18.75" customHeight="1" x14ac:dyDescent="0.25">
      <c r="A4" s="131"/>
      <c r="B4" s="138">
        <f>'Carteira de CRIs'!B4</f>
        <v>45689</v>
      </c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40"/>
      <c r="T4" s="139"/>
      <c r="U4" s="139"/>
      <c r="V4" s="139"/>
      <c r="W4" s="131"/>
      <c r="X4" s="131"/>
      <c r="Y4" s="131"/>
      <c r="Z4" s="131"/>
      <c r="AA4" s="131"/>
      <c r="AB4" s="131"/>
      <c r="AC4" s="131"/>
      <c r="AD4" s="131"/>
      <c r="AE4" s="137"/>
      <c r="AF4" s="131"/>
      <c r="AG4" s="131"/>
    </row>
    <row r="5" spans="1:33" s="133" customFormat="1" ht="18.75" customHeight="1" x14ac:dyDescent="0.25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2"/>
      <c r="T5" s="131"/>
      <c r="U5" s="131"/>
      <c r="V5" s="131"/>
      <c r="W5" s="131"/>
      <c r="X5" s="131"/>
      <c r="Y5" s="131"/>
      <c r="Z5" s="131"/>
      <c r="AA5" s="131"/>
      <c r="AB5" s="131"/>
      <c r="AC5" s="131"/>
      <c r="AD5" s="131"/>
      <c r="AE5" s="131"/>
      <c r="AF5" s="131"/>
      <c r="AG5" s="131"/>
    </row>
    <row r="7" spans="1:33" s="22" customFormat="1" ht="54.75" customHeight="1" x14ac:dyDescent="0.25">
      <c r="B7" s="182" t="s">
        <v>73</v>
      </c>
      <c r="C7" s="182"/>
      <c r="D7" s="182"/>
      <c r="E7" s="182"/>
      <c r="F7" s="182"/>
      <c r="G7" s="182"/>
      <c r="H7" s="182"/>
      <c r="I7" s="182"/>
      <c r="J7" s="182"/>
      <c r="K7" s="182"/>
      <c r="L7" s="182"/>
    </row>
    <row r="8" spans="1:33" ht="13.5" customHeight="1" x14ac:dyDescent="0.3">
      <c r="B8" s="23"/>
      <c r="C8" s="23"/>
      <c r="D8" s="23"/>
      <c r="E8" s="23"/>
      <c r="F8" s="23"/>
      <c r="G8" s="23"/>
      <c r="H8" s="23"/>
    </row>
    <row r="9" spans="1:33" ht="48" customHeight="1" x14ac:dyDescent="0.3">
      <c r="B9" s="23"/>
      <c r="C9" s="23"/>
      <c r="D9" s="23"/>
      <c r="E9" s="23"/>
      <c r="F9" s="23"/>
      <c r="G9" s="23"/>
      <c r="H9" s="23"/>
      <c r="K9" s="184" t="s">
        <v>74</v>
      </c>
      <c r="L9" s="185"/>
    </row>
    <row r="11" spans="1:33" ht="47.25" customHeight="1" x14ac:dyDescent="0.25">
      <c r="F11" s="24"/>
      <c r="G11" s="25"/>
      <c r="H11" s="26"/>
      <c r="I11" s="24" t="s">
        <v>75</v>
      </c>
      <c r="J11" s="25"/>
      <c r="K11" s="27" t="s">
        <v>76</v>
      </c>
      <c r="L11" s="27" t="s">
        <v>77</v>
      </c>
    </row>
    <row r="12" spans="1:33" ht="16.5" x14ac:dyDescent="0.25">
      <c r="B12" s="28" t="str">
        <f>"PL"&amp;aux_sensibilidade!I24</f>
        <v>PL (28/02)</v>
      </c>
      <c r="C12" s="186">
        <f>aux_sensibilidade!I36</f>
        <v>341182411.63999999</v>
      </c>
      <c r="D12" s="186"/>
      <c r="F12" s="24"/>
      <c r="G12" s="25"/>
      <c r="H12" s="29" t="s">
        <v>78</v>
      </c>
      <c r="I12" s="30" cm="1">
        <f t="array" ref="I12:I25">aux_sensibilidade!J77:J90</f>
        <v>69</v>
      </c>
      <c r="J12" s="30"/>
      <c r="K12" s="33" cm="1">
        <f t="array" ref="K12:K25">aux_sensibilidade!L109:L122</f>
        <v>0.248847771783691</v>
      </c>
      <c r="L12" s="33" cm="1">
        <f t="array" ref="L12:L25">aux_sensibilidade!L125:L138</f>
        <v>0.23284777178369098</v>
      </c>
    </row>
    <row r="13" spans="1:33" ht="16.5" x14ac:dyDescent="0.25">
      <c r="B13" s="36" t="s">
        <v>79</v>
      </c>
      <c r="C13" s="37"/>
      <c r="D13" s="38">
        <f>aux_sensibilidade!J39</f>
        <v>0.90151054080068371</v>
      </c>
      <c r="F13" s="24"/>
      <c r="G13" s="25"/>
      <c r="H13" s="29" t="s">
        <v>78</v>
      </c>
      <c r="I13" s="31">
        <v>71.5</v>
      </c>
      <c r="J13" s="30"/>
      <c r="K13" s="34">
        <v>0.23310780582524293</v>
      </c>
      <c r="L13" s="34">
        <v>0.21710780582524292</v>
      </c>
    </row>
    <row r="14" spans="1:33" ht="16.5" x14ac:dyDescent="0.25">
      <c r="B14" s="36" t="s">
        <v>80</v>
      </c>
      <c r="C14" s="37"/>
      <c r="D14" s="38">
        <f>aux_sensibilidade!J45</f>
        <v>5.2431285258983239E-2</v>
      </c>
      <c r="F14" s="24"/>
      <c r="G14" s="25"/>
      <c r="H14" s="29" t="s">
        <v>78</v>
      </c>
      <c r="I14" s="30">
        <v>74</v>
      </c>
      <c r="J14" s="30"/>
      <c r="K14" s="33">
        <v>0.21843135108020317</v>
      </c>
      <c r="L14" s="33">
        <v>0.20243135108020316</v>
      </c>
    </row>
    <row r="15" spans="1:33" ht="16.5" x14ac:dyDescent="0.25">
      <c r="B15" s="36" t="s">
        <v>81</v>
      </c>
      <c r="C15" s="37"/>
      <c r="D15" s="38">
        <f>aux_sensibilidade!J46</f>
        <v>0.84907925554170038</v>
      </c>
      <c r="F15" s="24"/>
      <c r="G15" s="25"/>
      <c r="H15" s="29" t="s">
        <v>78</v>
      </c>
      <c r="I15" s="31">
        <v>76.5</v>
      </c>
      <c r="J15" s="30"/>
      <c r="K15" s="34">
        <v>0.20471414174333624</v>
      </c>
      <c r="L15" s="34">
        <v>0.18871414174333623</v>
      </c>
    </row>
    <row r="16" spans="1:33" ht="16.5" x14ac:dyDescent="0.25">
      <c r="F16" s="24"/>
      <c r="G16" s="25"/>
      <c r="H16" s="29" t="s">
        <v>78</v>
      </c>
      <c r="I16" s="30">
        <v>79</v>
      </c>
      <c r="J16" s="30"/>
      <c r="K16" s="33">
        <v>0.19186511021259989</v>
      </c>
      <c r="L16" s="33">
        <v>0.17586511021259987</v>
      </c>
    </row>
    <row r="17" spans="2:12" ht="17.25" thickBot="1" x14ac:dyDescent="0.3">
      <c r="B17" s="36" t="s">
        <v>82</v>
      </c>
      <c r="C17" s="37"/>
      <c r="D17" s="38">
        <f>aux_sensibilidade!J42</f>
        <v>1.3730463998662883E-2</v>
      </c>
      <c r="F17" s="24"/>
      <c r="G17" s="25"/>
      <c r="H17" s="29" t="s">
        <v>78</v>
      </c>
      <c r="I17" s="31">
        <v>81.5</v>
      </c>
      <c r="J17" s="30"/>
      <c r="K17" s="34">
        <v>0.17980436282485379</v>
      </c>
      <c r="L17" s="34">
        <v>0.16380436282485378</v>
      </c>
    </row>
    <row r="18" spans="2:12" ht="17.25" thickBot="1" x14ac:dyDescent="0.3">
      <c r="F18" s="24"/>
      <c r="G18" s="25"/>
      <c r="H18" s="39" t="str">
        <f>"Cota Mercado "&amp;aux_sensibilidade!I24</f>
        <v>Cota Mercado  (28/02)</v>
      </c>
      <c r="I18" s="32">
        <v>84</v>
      </c>
      <c r="J18" s="32"/>
      <c r="K18" s="35">
        <v>0.1684615170673307</v>
      </c>
      <c r="L18" s="35">
        <v>0.15246151706733069</v>
      </c>
    </row>
    <row r="19" spans="2:12" ht="16.5" x14ac:dyDescent="0.25">
      <c r="B19" s="40" t="str">
        <f>"Carteira"&amp;aux_sensibilidade!I24</f>
        <v>Carteira (28/02)</v>
      </c>
      <c r="C19" s="41" t="s">
        <v>83</v>
      </c>
      <c r="D19" s="41" t="s">
        <v>84</v>
      </c>
      <c r="F19" s="24"/>
      <c r="G19" s="25"/>
      <c r="H19" s="29" t="s">
        <v>78</v>
      </c>
      <c r="I19" s="31">
        <v>86.5</v>
      </c>
      <c r="J19" s="30"/>
      <c r="K19" s="34">
        <v>0.15777432713394179</v>
      </c>
      <c r="L19" s="34">
        <v>0.14177432713394178</v>
      </c>
    </row>
    <row r="20" spans="2:12" ht="16.5" x14ac:dyDescent="0.25">
      <c r="B20" s="36" t="s">
        <v>85</v>
      </c>
      <c r="C20" s="42" cm="1">
        <f t="array" ref="C20:D21">aux_sensibilidade!I57:J58</f>
        <v>5.3317287330067527E-2</v>
      </c>
      <c r="D20" s="42">
        <v>4.8745158825068371E-2</v>
      </c>
      <c r="F20" s="24"/>
      <c r="G20" s="25"/>
      <c r="H20" s="29" t="s">
        <v>78</v>
      </c>
      <c r="I20" s="30">
        <v>89</v>
      </c>
      <c r="J20" s="30"/>
      <c r="K20" s="33">
        <v>0.14768754112939475</v>
      </c>
      <c r="L20" s="33">
        <v>0.13168754112939474</v>
      </c>
    </row>
    <row r="21" spans="2:12" ht="16.5" x14ac:dyDescent="0.25">
      <c r="B21" s="36" t="s">
        <v>86</v>
      </c>
      <c r="C21" s="42">
        <v>0.10231888649407425</v>
      </c>
      <c r="D21" s="42">
        <v>0.11369935201334214</v>
      </c>
      <c r="F21" s="24"/>
      <c r="G21" s="25"/>
      <c r="H21" s="29"/>
      <c r="I21" s="31">
        <v>91.5</v>
      </c>
      <c r="J21" s="30"/>
      <c r="K21" s="34">
        <v>0.13815194561689959</v>
      </c>
      <c r="L21" s="34">
        <v>0.12215194561689958</v>
      </c>
    </row>
    <row r="22" spans="2:12" ht="16.5" x14ac:dyDescent="0.25">
      <c r="F22" s="24"/>
      <c r="G22" s="25"/>
      <c r="H22" s="29" t="s">
        <v>78</v>
      </c>
      <c r="I22" s="30">
        <v>94</v>
      </c>
      <c r="J22" s="30"/>
      <c r="K22" s="33">
        <v>0.12912356263166491</v>
      </c>
      <c r="L22" s="33">
        <v>0.11312356263166491</v>
      </c>
    </row>
    <row r="23" spans="2:12" ht="16.5" x14ac:dyDescent="0.25">
      <c r="B23" s="43" t="s">
        <v>87</v>
      </c>
      <c r="C23" s="37"/>
      <c r="D23" s="44">
        <f>aux_sensibilidade!I50</f>
        <v>3.5269544850561343</v>
      </c>
      <c r="F23" s="24"/>
      <c r="G23" s="25"/>
      <c r="H23" s="29"/>
      <c r="I23" s="69">
        <v>96.5</v>
      </c>
      <c r="J23" s="30"/>
      <c r="K23" s="70">
        <v>0.12056297151095019</v>
      </c>
      <c r="L23" s="70">
        <v>0.10456297151095019</v>
      </c>
    </row>
    <row r="24" spans="2:12" ht="16.5" x14ac:dyDescent="0.25">
      <c r="B24" s="45"/>
      <c r="C24" s="45"/>
      <c r="D24" s="46"/>
      <c r="F24" s="24"/>
      <c r="G24" s="25"/>
      <c r="H24" s="29" t="s">
        <v>78</v>
      </c>
      <c r="I24" s="30">
        <v>99</v>
      </c>
      <c r="J24" s="30"/>
      <c r="K24" s="33">
        <v>0.11243473347714006</v>
      </c>
      <c r="L24" s="33">
        <v>9.6434733477140058E-2</v>
      </c>
    </row>
    <row r="25" spans="2:12" ht="16.5" x14ac:dyDescent="0.25">
      <c r="B25" s="36" t="str">
        <f>"Cota PL"&amp;aux_sensibilidade!I24</f>
        <v>Cota PL (28/02)</v>
      </c>
      <c r="C25" s="37"/>
      <c r="D25" s="44">
        <f>aux_sensibilidade!I26</f>
        <v>98.274522554762356</v>
      </c>
      <c r="F25" s="24"/>
      <c r="G25" s="25"/>
      <c r="H25" s="29" t="s">
        <v>78</v>
      </c>
      <c r="I25" s="31">
        <v>101.5</v>
      </c>
      <c r="J25" s="30"/>
      <c r="K25" s="34">
        <v>0.10470690125780346</v>
      </c>
      <c r="L25" s="34">
        <v>8.8706901257803464E-2</v>
      </c>
    </row>
    <row r="26" spans="2:12" ht="17.25" thickBot="1" x14ac:dyDescent="0.3">
      <c r="B26" s="36" t="str">
        <f>"CotaMercado"&amp;aux_sensibilidade!I24</f>
        <v>CotaMercado (28/02)</v>
      </c>
      <c r="C26" s="37"/>
      <c r="D26" s="44">
        <f>aux_sensibilidade!I27</f>
        <v>83.75</v>
      </c>
      <c r="F26" s="24"/>
      <c r="G26" s="25"/>
    </row>
    <row r="27" spans="2:12" ht="17.25" thickBot="1" x14ac:dyDescent="0.3">
      <c r="B27" s="36" t="s">
        <v>89</v>
      </c>
      <c r="C27" s="37"/>
      <c r="D27" s="48">
        <f>(D26-D25)/D25</f>
        <v>-0.14779540187202367</v>
      </c>
      <c r="F27" s="24"/>
      <c r="G27" s="25"/>
      <c r="H27" s="39" t="s">
        <v>175</v>
      </c>
      <c r="I27" s="178">
        <v>98.27</v>
      </c>
      <c r="J27" s="71"/>
      <c r="K27" s="72" cm="1">
        <f t="array" ref="K27:L27">aux_sensibilidade!K144:L144</f>
        <v>0.11476542943029666</v>
      </c>
      <c r="L27" s="72">
        <v>9.8765429430296661E-2</v>
      </c>
    </row>
    <row r="28" spans="2:12" x14ac:dyDescent="0.25">
      <c r="F28" s="24"/>
      <c r="G28" s="25"/>
    </row>
    <row r="29" spans="2:12" x14ac:dyDescent="0.25">
      <c r="F29" s="24"/>
      <c r="G29" s="25"/>
      <c r="I29" s="47" t="s">
        <v>88</v>
      </c>
    </row>
    <row r="30" spans="2:12" ht="16.5" x14ac:dyDescent="0.25">
      <c r="B30" s="28" t="s">
        <v>91</v>
      </c>
      <c r="C30" s="37"/>
      <c r="D30" s="187">
        <f>aux_sensibilidade!I30</f>
        <v>0.1612679460569979</v>
      </c>
      <c r="F30" s="24"/>
      <c r="G30" s="25"/>
    </row>
    <row r="31" spans="2:12" ht="16.5" x14ac:dyDescent="0.25">
      <c r="B31" s="28" t="s">
        <v>90</v>
      </c>
      <c r="C31" s="37"/>
      <c r="D31" s="187"/>
      <c r="F31" s="24"/>
      <c r="G31" s="25"/>
    </row>
    <row r="32" spans="2:12" s="49" customFormat="1" x14ac:dyDescent="0.25">
      <c r="B32"/>
      <c r="C32"/>
      <c r="D32"/>
      <c r="F32" s="24"/>
      <c r="G32" s="25"/>
    </row>
    <row r="33" spans="2:7" ht="139.5" customHeight="1" x14ac:dyDescent="0.25">
      <c r="B33" s="188" t="s">
        <v>178</v>
      </c>
      <c r="C33" s="188"/>
      <c r="D33" s="188"/>
      <c r="F33" s="24"/>
      <c r="G33" s="25"/>
    </row>
    <row r="34" spans="2:7" x14ac:dyDescent="0.25">
      <c r="F34" s="24"/>
      <c r="G34" s="25"/>
    </row>
    <row r="35" spans="2:7" ht="16.5" x14ac:dyDescent="0.25">
      <c r="B35" s="50" t="s">
        <v>92</v>
      </c>
      <c r="C35" s="41"/>
      <c r="D35" s="41"/>
      <c r="F35" s="24"/>
      <c r="G35" s="25"/>
    </row>
    <row r="36" spans="2:7" ht="16.5" x14ac:dyDescent="0.25">
      <c r="B36" s="36" t="str" cm="1">
        <f t="array" ref="B36:B37">aux_sensibilidade!H57:H58&amp;" (E)"</f>
        <v>CDI + (E)</v>
      </c>
      <c r="C36" s="179"/>
      <c r="D36" s="179">
        <v>0.151811</v>
      </c>
      <c r="F36" s="24"/>
      <c r="G36" s="25"/>
    </row>
    <row r="37" spans="2:7" ht="18.75" customHeight="1" x14ac:dyDescent="0.25">
      <c r="B37" s="36" t="str">
        <v>IPCA + (E)</v>
      </c>
      <c r="C37" s="179"/>
      <c r="D37" s="179">
        <v>6.7306999999999992E-2</v>
      </c>
      <c r="F37" s="24"/>
      <c r="G37" s="25"/>
    </row>
    <row r="38" spans="2:7" ht="15" customHeight="1" x14ac:dyDescent="0.25">
      <c r="F38" s="24"/>
      <c r="G38" s="25"/>
    </row>
    <row r="39" spans="2:7" ht="123" customHeight="1" x14ac:dyDescent="0.25">
      <c r="B39" s="183" t="s">
        <v>177</v>
      </c>
      <c r="C39" s="183"/>
      <c r="D39" s="183"/>
      <c r="F39" s="24"/>
      <c r="G39" s="25"/>
    </row>
    <row r="40" spans="2:7" x14ac:dyDescent="0.25">
      <c r="B40" s="183"/>
      <c r="C40" s="183"/>
      <c r="D40" s="183"/>
      <c r="F40" s="24"/>
      <c r="G40" s="25"/>
    </row>
    <row r="41" spans="2:7" x14ac:dyDescent="0.25">
      <c r="B41" s="183"/>
      <c r="C41" s="183"/>
      <c r="D41" s="183"/>
      <c r="F41" s="24"/>
      <c r="G41" s="25"/>
    </row>
    <row r="42" spans="2:7" x14ac:dyDescent="0.25">
      <c r="B42" s="183"/>
      <c r="C42" s="183"/>
      <c r="D42" s="183"/>
      <c r="F42" s="24"/>
      <c r="G42" s="25"/>
    </row>
    <row r="43" spans="2:7" x14ac:dyDescent="0.25">
      <c r="B43" s="183"/>
      <c r="C43" s="183"/>
      <c r="D43" s="183"/>
      <c r="F43" s="24"/>
      <c r="G43" s="25"/>
    </row>
    <row r="44" spans="2:7" ht="16.5" customHeight="1" x14ac:dyDescent="0.25">
      <c r="B44" s="183"/>
      <c r="C44" s="183"/>
      <c r="D44" s="183"/>
      <c r="F44" s="24"/>
      <c r="G44" s="25"/>
    </row>
    <row r="45" spans="2:7" x14ac:dyDescent="0.25">
      <c r="B45" s="183"/>
      <c r="C45" s="183"/>
      <c r="D45" s="183"/>
      <c r="F45" s="24"/>
      <c r="G45" s="25"/>
    </row>
    <row r="46" spans="2:7" ht="15" customHeight="1" x14ac:dyDescent="0.25">
      <c r="B46" s="183"/>
      <c r="C46" s="183"/>
      <c r="D46" s="183"/>
      <c r="F46" s="24"/>
    </row>
    <row r="47" spans="2:7" ht="15" customHeight="1" x14ac:dyDescent="0.25">
      <c r="B47" s="183"/>
      <c r="C47" s="183"/>
      <c r="D47" s="183"/>
      <c r="F47" s="24"/>
    </row>
    <row r="48" spans="2:7" ht="15" customHeight="1" x14ac:dyDescent="0.25">
      <c r="B48" s="183"/>
      <c r="C48" s="183"/>
      <c r="D48" s="183"/>
      <c r="F48" s="24"/>
    </row>
    <row r="49" spans="2:6" ht="15" customHeight="1" x14ac:dyDescent="0.25">
      <c r="B49" s="183"/>
      <c r="C49" s="183"/>
      <c r="D49" s="183"/>
      <c r="F49" s="24"/>
    </row>
    <row r="50" spans="2:6" ht="15" customHeight="1" x14ac:dyDescent="0.25">
      <c r="F50" s="24"/>
    </row>
    <row r="51" spans="2:6" ht="15" customHeight="1" x14ac:dyDescent="0.25">
      <c r="F51" s="24"/>
    </row>
    <row r="52" spans="2:6" x14ac:dyDescent="0.25">
      <c r="F52" s="24"/>
    </row>
    <row r="53" spans="2:6" x14ac:dyDescent="0.25">
      <c r="F53" s="24"/>
    </row>
    <row r="54" spans="2:6" ht="15" customHeight="1" x14ac:dyDescent="0.25"/>
    <row r="55" spans="2:6" ht="16.5" customHeight="1" x14ac:dyDescent="0.25"/>
  </sheetData>
  <mergeCells count="6">
    <mergeCell ref="B7:L7"/>
    <mergeCell ref="B39:D49"/>
    <mergeCell ref="K9:L9"/>
    <mergeCell ref="C12:D12"/>
    <mergeCell ref="D30:D31"/>
    <mergeCell ref="B33:D33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A801E-F617-4E57-BA52-A934EE396BF1}">
  <sheetPr codeName="Sheet6"/>
  <dimension ref="G4:M144"/>
  <sheetViews>
    <sheetView topLeftCell="A25" zoomScale="115" zoomScaleNormal="115" workbookViewId="0">
      <selection activeCell="G35" sqref="G35"/>
    </sheetView>
  </sheetViews>
  <sheetFormatPr defaultRowHeight="15" x14ac:dyDescent="0.25"/>
  <cols>
    <col min="7" max="7" width="10.42578125" customWidth="1"/>
    <col min="8" max="8" width="19.42578125" customWidth="1"/>
    <col min="9" max="9" width="17.42578125" customWidth="1"/>
    <col min="10" max="10" width="17.5703125" customWidth="1"/>
    <col min="11" max="11" width="18.42578125" customWidth="1"/>
    <col min="12" max="12" width="18" customWidth="1"/>
    <col min="13" max="13" width="20.42578125" customWidth="1"/>
  </cols>
  <sheetData>
    <row r="4" spans="7:12" ht="15.75" thickBot="1" x14ac:dyDescent="0.3"/>
    <row r="5" spans="7:12" x14ac:dyDescent="0.25">
      <c r="G5" s="49"/>
      <c r="H5" s="77" t="s">
        <v>183</v>
      </c>
      <c r="I5" s="78" t="s">
        <v>96</v>
      </c>
      <c r="J5" s="78" t="s">
        <v>94</v>
      </c>
      <c r="K5" s="78" t="s">
        <v>98</v>
      </c>
      <c r="L5" s="79"/>
    </row>
    <row r="6" spans="7:12" x14ac:dyDescent="0.25">
      <c r="G6" s="51" t="s">
        <v>93</v>
      </c>
      <c r="H6" s="80">
        <v>252</v>
      </c>
      <c r="I6" s="81">
        <v>6.7545000000000008E-2</v>
      </c>
      <c r="J6" s="81">
        <v>0.15005399999999999</v>
      </c>
      <c r="K6" s="81">
        <v>4.9646270341509702E-2</v>
      </c>
      <c r="L6" s="82">
        <v>45716</v>
      </c>
    </row>
    <row r="7" spans="7:12" x14ac:dyDescent="0.25">
      <c r="G7" s="51" t="s">
        <v>95</v>
      </c>
      <c r="H7" s="80">
        <v>378</v>
      </c>
      <c r="I7" s="81">
        <v>6.59E-2</v>
      </c>
      <c r="J7" s="81">
        <v>0.150528</v>
      </c>
      <c r="K7" s="81">
        <v>4.828342367602767E-2</v>
      </c>
      <c r="L7" s="83"/>
    </row>
    <row r="8" spans="7:12" x14ac:dyDescent="0.25">
      <c r="G8" s="51" t="s">
        <v>97</v>
      </c>
      <c r="H8" s="80">
        <v>504</v>
      </c>
      <c r="I8" s="81">
        <v>6.5750000000000003E-2</v>
      </c>
      <c r="J8" s="81">
        <v>0.15046499999999999</v>
      </c>
      <c r="K8" s="81">
        <v>4.7141766810338437E-2</v>
      </c>
      <c r="L8" s="84"/>
    </row>
    <row r="9" spans="7:12" x14ac:dyDescent="0.25">
      <c r="G9" s="51"/>
      <c r="H9" s="80">
        <v>630</v>
      </c>
      <c r="I9" s="81">
        <v>6.5961999999999993E-2</v>
      </c>
      <c r="J9" s="81">
        <v>0.15054899999999999</v>
      </c>
      <c r="K9" s="81">
        <v>4.5735605744857244E-2</v>
      </c>
      <c r="L9" s="84"/>
    </row>
    <row r="10" spans="7:12" x14ac:dyDescent="0.25">
      <c r="H10" s="80">
        <v>756</v>
      </c>
      <c r="I10" s="81">
        <v>6.6338999999999995E-2</v>
      </c>
      <c r="J10" s="81">
        <v>0.15085499999999999</v>
      </c>
      <c r="K10" s="81">
        <v>4.4829541721784771E-2</v>
      </c>
      <c r="L10" s="84"/>
    </row>
    <row r="11" spans="7:12" x14ac:dyDescent="0.25">
      <c r="H11" s="80">
        <v>882</v>
      </c>
      <c r="I11" s="81">
        <v>6.6804000000000002E-2</v>
      </c>
      <c r="J11" s="81">
        <v>0.15130399999999999</v>
      </c>
      <c r="K11" s="81">
        <v>4.4202104283138866E-2</v>
      </c>
      <c r="L11" s="84"/>
    </row>
    <row r="12" spans="7:12" x14ac:dyDescent="0.25">
      <c r="H12" s="80">
        <v>1008</v>
      </c>
      <c r="I12" s="81">
        <v>6.7306999999999992E-2</v>
      </c>
      <c r="J12" s="81">
        <v>0.151811</v>
      </c>
      <c r="K12" s="81">
        <v>4.3736818701062274E-2</v>
      </c>
      <c r="L12" s="84"/>
    </row>
    <row r="13" spans="7:12" x14ac:dyDescent="0.25">
      <c r="H13" s="80">
        <v>1134</v>
      </c>
      <c r="I13" s="81">
        <v>6.7805000000000004E-2</v>
      </c>
      <c r="J13" s="81">
        <v>0.152309</v>
      </c>
      <c r="K13" s="81">
        <v>4.3350428980581501E-2</v>
      </c>
      <c r="L13" s="84"/>
    </row>
    <row r="14" spans="7:12" x14ac:dyDescent="0.25">
      <c r="H14" s="80">
        <v>1260</v>
      </c>
      <c r="I14" s="81">
        <v>6.8268999999999996E-2</v>
      </c>
      <c r="J14" s="81">
        <v>0.152758</v>
      </c>
      <c r="K14" s="81">
        <v>4.3035670472683085E-2</v>
      </c>
      <c r="L14" s="84"/>
    </row>
    <row r="15" spans="7:12" x14ac:dyDescent="0.25">
      <c r="H15" s="80">
        <v>1386</v>
      </c>
      <c r="I15" s="81">
        <v>6.8681000000000006E-2</v>
      </c>
      <c r="J15" s="81">
        <v>0.15313299999999999</v>
      </c>
      <c r="K15" s="81">
        <v>4.273883737705475E-2</v>
      </c>
      <c r="L15" s="84"/>
    </row>
    <row r="16" spans="7:12" x14ac:dyDescent="0.25">
      <c r="H16" s="80">
        <v>1512</v>
      </c>
      <c r="I16" s="81">
        <v>6.9032999999999997E-2</v>
      </c>
      <c r="J16" s="81">
        <v>0.153424</v>
      </c>
      <c r="K16" s="81">
        <v>4.2501951302567509E-2</v>
      </c>
      <c r="L16" s="84"/>
    </row>
    <row r="17" spans="8:12" x14ac:dyDescent="0.25">
      <c r="H17" s="80">
        <v>1638</v>
      </c>
      <c r="I17" s="81">
        <v>6.9318999999999992E-2</v>
      </c>
      <c r="J17" s="81">
        <v>0.15362700000000001</v>
      </c>
      <c r="K17" s="81">
        <v>4.2292427724152981E-2</v>
      </c>
      <c r="L17" s="84"/>
    </row>
    <row r="18" spans="8:12" x14ac:dyDescent="0.25">
      <c r="H18" s="80">
        <v>1764</v>
      </c>
      <c r="I18" s="81">
        <v>6.9542000000000007E-2</v>
      </c>
      <c r="J18" s="81">
        <v>0.15374399999999999</v>
      </c>
      <c r="K18" s="81">
        <v>4.212511888011039E-2</v>
      </c>
      <c r="L18" s="84"/>
    </row>
    <row r="19" spans="8:12" x14ac:dyDescent="0.25">
      <c r="H19" s="80">
        <v>1890</v>
      </c>
      <c r="I19" s="81">
        <v>6.9698999999999997E-2</v>
      </c>
      <c r="J19" s="81">
        <v>0.153779</v>
      </c>
      <c r="K19" s="81">
        <v>4.197965987832375E-2</v>
      </c>
      <c r="L19" s="84"/>
    </row>
    <row r="20" spans="8:12" x14ac:dyDescent="0.25">
      <c r="H20" s="80">
        <v>2016</v>
      </c>
      <c r="I20" s="81">
        <v>6.9797999999999999E-2</v>
      </c>
      <c r="J20" s="81">
        <v>0.15373799999999999</v>
      </c>
      <c r="K20" s="81">
        <v>4.1862973052006591E-2</v>
      </c>
      <c r="L20" s="84"/>
    </row>
    <row r="21" spans="8:12" x14ac:dyDescent="0.25">
      <c r="H21" s="80">
        <v>2142</v>
      </c>
      <c r="I21" s="81">
        <v>6.9839999999999999E-2</v>
      </c>
      <c r="J21" s="81">
        <v>0.15362700000000001</v>
      </c>
      <c r="K21" s="81">
        <v>4.1759437995158244E-2</v>
      </c>
      <c r="L21" s="84"/>
    </row>
    <row r="22" spans="8:12" x14ac:dyDescent="0.25">
      <c r="H22" s="80">
        <v>2268</v>
      </c>
      <c r="I22" s="81">
        <v>6.9829000000000002E-2</v>
      </c>
      <c r="J22" s="81">
        <v>0.15345300000000001</v>
      </c>
      <c r="K22" s="81">
        <v>4.1551626940075748E-2</v>
      </c>
      <c r="L22" s="84"/>
    </row>
    <row r="23" spans="8:12" x14ac:dyDescent="0.25">
      <c r="H23" s="85"/>
      <c r="L23" s="84"/>
    </row>
    <row r="24" spans="8:12" x14ac:dyDescent="0.25">
      <c r="H24" s="85" t="s">
        <v>99</v>
      </c>
      <c r="I24" s="86" t="s">
        <v>237</v>
      </c>
      <c r="L24" s="84"/>
    </row>
    <row r="25" spans="8:12" x14ac:dyDescent="0.25">
      <c r="H25" s="85" t="s">
        <v>100</v>
      </c>
      <c r="I25" s="87">
        <v>45716</v>
      </c>
      <c r="J25" t="s">
        <v>212</v>
      </c>
      <c r="L25" s="84"/>
    </row>
    <row r="26" spans="8:12" x14ac:dyDescent="0.25">
      <c r="H26" s="85" t="s">
        <v>102</v>
      </c>
      <c r="I26" s="88">
        <v>98.274522554762356</v>
      </c>
      <c r="J26" t="s">
        <v>101</v>
      </c>
      <c r="L26" s="84"/>
    </row>
    <row r="27" spans="8:12" x14ac:dyDescent="0.25">
      <c r="H27" s="85" t="s">
        <v>103</v>
      </c>
      <c r="I27" s="88">
        <v>83.75</v>
      </c>
      <c r="J27" t="s">
        <v>101</v>
      </c>
      <c r="L27" s="84"/>
    </row>
    <row r="28" spans="8:12" x14ac:dyDescent="0.25">
      <c r="H28" s="85"/>
      <c r="L28" s="84"/>
    </row>
    <row r="29" spans="8:12" x14ac:dyDescent="0.25">
      <c r="H29" s="85" t="s">
        <v>104</v>
      </c>
      <c r="I29" s="89">
        <v>0.14388059701492528</v>
      </c>
      <c r="J29" t="s">
        <v>105</v>
      </c>
      <c r="L29" s="84"/>
    </row>
    <row r="30" spans="8:12" x14ac:dyDescent="0.25">
      <c r="H30" s="85" t="s">
        <v>106</v>
      </c>
      <c r="I30" s="90">
        <v>0.1612679460569979</v>
      </c>
      <c r="J30" t="s">
        <v>101</v>
      </c>
      <c r="L30" s="84"/>
    </row>
    <row r="31" spans="8:12" x14ac:dyDescent="0.25">
      <c r="H31" s="85"/>
      <c r="L31" s="84"/>
    </row>
    <row r="32" spans="8:12" x14ac:dyDescent="0.25">
      <c r="H32" s="85" t="s">
        <v>107</v>
      </c>
      <c r="I32" s="91">
        <v>0</v>
      </c>
      <c r="L32" s="84"/>
    </row>
    <row r="33" spans="8:12" x14ac:dyDescent="0.25">
      <c r="H33" s="85" t="s">
        <v>108</v>
      </c>
      <c r="I33" s="91">
        <v>1.6E-2</v>
      </c>
      <c r="L33" s="84"/>
    </row>
    <row r="34" spans="8:12" x14ac:dyDescent="0.25">
      <c r="H34" s="85" t="s">
        <v>109</v>
      </c>
      <c r="I34" s="91">
        <v>1.6E-2</v>
      </c>
      <c r="L34" s="84"/>
    </row>
    <row r="35" spans="8:12" x14ac:dyDescent="0.25">
      <c r="H35" s="92"/>
      <c r="I35" s="93"/>
      <c r="J35" s="93"/>
      <c r="K35" s="93"/>
      <c r="L35" s="94"/>
    </row>
    <row r="36" spans="8:12" x14ac:dyDescent="0.25">
      <c r="H36" s="92" t="s">
        <v>110</v>
      </c>
      <c r="I36" s="95">
        <v>341182411.63999999</v>
      </c>
      <c r="J36" s="93"/>
      <c r="K36" s="93"/>
      <c r="L36" s="94"/>
    </row>
    <row r="37" spans="8:12" x14ac:dyDescent="0.25">
      <c r="H37" s="92"/>
      <c r="I37" s="93"/>
      <c r="J37" s="93"/>
      <c r="K37" s="93"/>
      <c r="L37" s="94"/>
    </row>
    <row r="38" spans="8:12" x14ac:dyDescent="0.25">
      <c r="H38" s="92" t="s">
        <v>111</v>
      </c>
      <c r="I38" s="93" t="s">
        <v>112</v>
      </c>
      <c r="J38" s="93" t="s">
        <v>113</v>
      </c>
      <c r="K38" s="93"/>
      <c r="L38" s="94"/>
    </row>
    <row r="39" spans="8:12" x14ac:dyDescent="0.25">
      <c r="H39" s="92" t="s">
        <v>114</v>
      </c>
      <c r="I39" s="96">
        <v>307579540.42925787</v>
      </c>
      <c r="J39" s="97">
        <v>0.90151054080068371</v>
      </c>
      <c r="K39" s="93"/>
      <c r="L39" s="94"/>
    </row>
    <row r="40" spans="8:12" x14ac:dyDescent="0.25">
      <c r="H40" s="92" t="s">
        <v>115</v>
      </c>
      <c r="I40" s="96">
        <v>0</v>
      </c>
      <c r="J40" s="97">
        <v>0</v>
      </c>
      <c r="K40" s="93"/>
      <c r="L40" s="94"/>
    </row>
    <row r="41" spans="8:12" x14ac:dyDescent="0.25">
      <c r="H41" s="92" t="s">
        <v>192</v>
      </c>
      <c r="I41" s="96">
        <v>0</v>
      </c>
      <c r="J41" s="97">
        <v>0</v>
      </c>
      <c r="K41" s="93"/>
      <c r="L41" s="94"/>
    </row>
    <row r="42" spans="8:12" x14ac:dyDescent="0.25">
      <c r="H42" s="92" t="s">
        <v>116</v>
      </c>
      <c r="I42" s="96">
        <v>4684592.82</v>
      </c>
      <c r="J42" s="97">
        <v>1.3730463998662883E-2</v>
      </c>
      <c r="K42" s="93"/>
      <c r="L42" s="94"/>
    </row>
    <row r="43" spans="8:12" x14ac:dyDescent="0.25">
      <c r="H43" s="92" t="s">
        <v>117</v>
      </c>
      <c r="I43" s="96">
        <v>23595938.748799548</v>
      </c>
      <c r="J43" s="97">
        <v>6.9159305825227876E-2</v>
      </c>
      <c r="K43" s="93"/>
      <c r="L43" s="94"/>
    </row>
    <row r="44" spans="8:12" x14ac:dyDescent="0.25">
      <c r="H44" s="92" t="s">
        <v>118</v>
      </c>
      <c r="I44" s="96">
        <v>5489972.6100000003</v>
      </c>
      <c r="J44" s="97">
        <v>1.6091018829519171E-2</v>
      </c>
      <c r="K44" s="93"/>
      <c r="L44" s="94"/>
    </row>
    <row r="45" spans="8:12" x14ac:dyDescent="0.25">
      <c r="H45" s="92" t="s">
        <v>119</v>
      </c>
      <c r="I45" s="96">
        <v>17888632.350044683</v>
      </c>
      <c r="J45" s="97">
        <v>5.2431285258983239E-2</v>
      </c>
      <c r="K45" s="93"/>
      <c r="L45" s="94"/>
    </row>
    <row r="46" spans="8:12" x14ac:dyDescent="0.25">
      <c r="H46" s="92" t="s">
        <v>120</v>
      </c>
      <c r="I46" s="96">
        <v>289690908.07921314</v>
      </c>
      <c r="J46" s="97">
        <v>0.84907925554170038</v>
      </c>
      <c r="K46" s="93"/>
      <c r="L46" s="94"/>
    </row>
    <row r="47" spans="8:12" x14ac:dyDescent="0.25">
      <c r="H47" s="92" t="s">
        <v>121</v>
      </c>
      <c r="I47" s="96">
        <v>0</v>
      </c>
      <c r="J47" s="97">
        <v>0</v>
      </c>
      <c r="K47" s="93"/>
      <c r="L47" s="94"/>
    </row>
    <row r="48" spans="8:12" x14ac:dyDescent="0.25">
      <c r="H48" s="92" t="s">
        <v>147</v>
      </c>
      <c r="I48" s="96">
        <v>0</v>
      </c>
      <c r="J48" s="97">
        <v>0</v>
      </c>
      <c r="K48" s="93"/>
      <c r="L48" s="94"/>
    </row>
    <row r="49" spans="8:13" x14ac:dyDescent="0.25">
      <c r="H49" s="92"/>
      <c r="I49" s="93"/>
      <c r="J49" s="93"/>
      <c r="K49" s="93"/>
      <c r="L49" s="94"/>
    </row>
    <row r="50" spans="8:13" x14ac:dyDescent="0.25">
      <c r="H50" s="92" t="s">
        <v>122</v>
      </c>
      <c r="I50" s="98">
        <v>3.5269544850561343</v>
      </c>
      <c r="J50" s="99">
        <v>888.79253023414583</v>
      </c>
      <c r="K50" s="93">
        <v>1008</v>
      </c>
      <c r="L50" s="94"/>
    </row>
    <row r="51" spans="8:13" x14ac:dyDescent="0.25">
      <c r="H51" s="92"/>
      <c r="I51" s="93"/>
      <c r="J51" s="93"/>
      <c r="K51" s="93"/>
      <c r="L51" s="94"/>
    </row>
    <row r="52" spans="8:13" x14ac:dyDescent="0.25">
      <c r="H52" s="92" t="s">
        <v>123</v>
      </c>
      <c r="I52" s="100">
        <v>2.5</v>
      </c>
      <c r="J52" s="93"/>
      <c r="K52" s="93"/>
      <c r="L52" s="94"/>
    </row>
    <row r="53" spans="8:13" x14ac:dyDescent="0.25">
      <c r="H53" s="92"/>
      <c r="I53" s="93"/>
      <c r="J53" s="93"/>
      <c r="K53" s="93"/>
      <c r="L53" s="94"/>
    </row>
    <row r="54" spans="8:13" x14ac:dyDescent="0.25">
      <c r="H54" s="92" t="s">
        <v>124</v>
      </c>
      <c r="I54" s="101">
        <v>2023</v>
      </c>
      <c r="J54" s="93"/>
      <c r="K54" s="93"/>
      <c r="L54" s="94"/>
    </row>
    <row r="55" spans="8:13" x14ac:dyDescent="0.25">
      <c r="H55" s="92"/>
      <c r="I55" s="93"/>
      <c r="J55" s="93"/>
      <c r="K55" s="93"/>
      <c r="L55" s="94"/>
    </row>
    <row r="56" spans="8:13" x14ac:dyDescent="0.25">
      <c r="H56" s="92" t="s">
        <v>125</v>
      </c>
      <c r="I56" s="93" t="s">
        <v>126</v>
      </c>
      <c r="J56" s="93" t="s">
        <v>127</v>
      </c>
      <c r="K56" s="93"/>
      <c r="L56" s="94"/>
    </row>
    <row r="57" spans="8:13" x14ac:dyDescent="0.25">
      <c r="H57" s="102" t="s">
        <v>93</v>
      </c>
      <c r="I57" s="103">
        <v>5.3317287330067527E-2</v>
      </c>
      <c r="J57" s="103">
        <v>4.8745158825068371E-2</v>
      </c>
      <c r="K57" s="93"/>
      <c r="L57" s="94"/>
    </row>
    <row r="58" spans="8:13" x14ac:dyDescent="0.25">
      <c r="H58" s="102" t="s">
        <v>95</v>
      </c>
      <c r="I58" s="103">
        <v>0.10231888649407425</v>
      </c>
      <c r="J58" s="103">
        <v>0.11369935201334214</v>
      </c>
      <c r="K58" s="93"/>
      <c r="L58" s="94"/>
    </row>
    <row r="59" spans="8:13" x14ac:dyDescent="0.25">
      <c r="H59" s="92" t="s">
        <v>97</v>
      </c>
      <c r="I59" s="103">
        <v>0</v>
      </c>
      <c r="J59" s="103">
        <v>0</v>
      </c>
      <c r="K59" s="93"/>
      <c r="L59" s="94"/>
    </row>
    <row r="60" spans="8:13" ht="15.75" thickBot="1" x14ac:dyDescent="0.3">
      <c r="H60" s="104" t="s">
        <v>27</v>
      </c>
      <c r="I60" s="105">
        <v>0</v>
      </c>
      <c r="J60" s="105">
        <v>0</v>
      </c>
      <c r="K60" s="106"/>
      <c r="L60" s="107"/>
    </row>
    <row r="62" spans="8:13" x14ac:dyDescent="0.25">
      <c r="H62" s="22" t="s">
        <v>94</v>
      </c>
      <c r="I62" s="53">
        <f>Sensibilidade!D36</f>
        <v>0.151811</v>
      </c>
    </row>
    <row r="63" spans="8:13" x14ac:dyDescent="0.25">
      <c r="H63" s="22" t="s">
        <v>96</v>
      </c>
      <c r="I63" s="53">
        <f>Sensibilidade!D37</f>
        <v>6.7306999999999992E-2</v>
      </c>
    </row>
    <row r="64" spans="8:13" x14ac:dyDescent="0.25">
      <c r="H64" s="22" t="s">
        <v>98</v>
      </c>
      <c r="I64" s="53"/>
      <c r="M64" s="52"/>
    </row>
    <row r="65" spans="8:13" x14ac:dyDescent="0.25">
      <c r="H65" s="22"/>
      <c r="I65" s="53"/>
      <c r="M65" s="52"/>
    </row>
    <row r="66" spans="8:13" x14ac:dyDescent="0.25">
      <c r="M66" s="52"/>
    </row>
    <row r="67" spans="8:13" x14ac:dyDescent="0.25">
      <c r="H67" t="s">
        <v>125</v>
      </c>
      <c r="I67" t="s">
        <v>128</v>
      </c>
      <c r="J67" t="s">
        <v>129</v>
      </c>
      <c r="K67" t="s">
        <v>130</v>
      </c>
      <c r="M67" s="52"/>
    </row>
    <row r="68" spans="8:13" x14ac:dyDescent="0.25">
      <c r="H68" s="49" t="s">
        <v>93</v>
      </c>
      <c r="I68" s="54">
        <f t="shared" ref="I68:J70" si="0">+(1+I57)*(1+$I62)-1</f>
        <v>0.2132224380369323</v>
      </c>
      <c r="J68" s="54">
        <f t="shared" si="0"/>
        <v>0.20795621013146093</v>
      </c>
      <c r="K68" s="54">
        <f>J45/J39</f>
        <v>5.8159370174880015E-2</v>
      </c>
    </row>
    <row r="69" spans="8:13" x14ac:dyDescent="0.25">
      <c r="H69" s="49" t="s">
        <v>95</v>
      </c>
      <c r="I69" s="54">
        <f t="shared" si="0"/>
        <v>0.17651266378733088</v>
      </c>
      <c r="J69" s="54">
        <f t="shared" si="0"/>
        <v>0.18865911429930415</v>
      </c>
      <c r="K69" s="54">
        <f>J46/J39</f>
        <v>0.94184062982511985</v>
      </c>
    </row>
    <row r="70" spans="8:13" x14ac:dyDescent="0.25">
      <c r="H70" t="s">
        <v>97</v>
      </c>
      <c r="I70" s="54">
        <f t="shared" si="0"/>
        <v>0</v>
      </c>
      <c r="J70" s="54">
        <f t="shared" si="0"/>
        <v>0</v>
      </c>
      <c r="K70" s="54">
        <f>J47/J39</f>
        <v>0</v>
      </c>
    </row>
    <row r="71" spans="8:13" x14ac:dyDescent="0.25">
      <c r="H71" t="s">
        <v>27</v>
      </c>
      <c r="I71" s="54">
        <f>I60</f>
        <v>0</v>
      </c>
      <c r="J71" s="54">
        <f>J60</f>
        <v>0</v>
      </c>
      <c r="K71" s="54">
        <f>J48/J39</f>
        <v>0</v>
      </c>
    </row>
    <row r="73" spans="8:13" x14ac:dyDescent="0.25">
      <c r="H73" t="s">
        <v>131</v>
      </c>
      <c r="I73" t="s">
        <v>128</v>
      </c>
      <c r="J73" t="s">
        <v>129</v>
      </c>
    </row>
    <row r="74" spans="8:13" x14ac:dyDescent="0.25">
      <c r="H74" t="s">
        <v>132</v>
      </c>
      <c r="I74" s="54">
        <f>SUMPRODUCT(I68:I71,$K$68:$K$71)</f>
        <v>0.1786476811369497</v>
      </c>
      <c r="J74" s="54">
        <f>SUMPRODUCT(J68:J71,$K$68:$K$71)</f>
        <v>0.18978142123910668</v>
      </c>
    </row>
    <row r="76" spans="8:13" x14ac:dyDescent="0.25">
      <c r="H76" t="s">
        <v>133</v>
      </c>
      <c r="I76" s="55" t="s">
        <v>134</v>
      </c>
      <c r="J76" s="49" t="s">
        <v>75</v>
      </c>
      <c r="K76" t="s">
        <v>135</v>
      </c>
      <c r="L76" t="s">
        <v>136</v>
      </c>
    </row>
    <row r="77" spans="8:13" x14ac:dyDescent="0.25">
      <c r="H77" s="56">
        <f t="shared" ref="H77:H90" si="1">1- I77/$I$50</f>
        <v>1.1202931437364128</v>
      </c>
      <c r="I77" s="57">
        <f t="shared" ref="I77:I90" si="2">(J77-$I$26)/J77</f>
        <v>-0.42426844282264287</v>
      </c>
      <c r="J77" s="58">
        <f t="shared" ref="J77:J82" si="3">J78-$I$52</f>
        <v>69</v>
      </c>
      <c r="K77" s="54">
        <f t="shared" ref="K77:K90" si="4">(1+$I$74) * ($H77) - 1</f>
        <v>0.32043091605854634</v>
      </c>
      <c r="L77" s="54">
        <f t="shared" ref="L77:L90" si="5">(1+$J$74) * ($H77) - 1</f>
        <v>0.33290396875913597</v>
      </c>
    </row>
    <row r="78" spans="8:13" x14ac:dyDescent="0.25">
      <c r="H78" s="56">
        <f t="shared" si="1"/>
        <v>1.1061734276714925</v>
      </c>
      <c r="I78" s="57">
        <f t="shared" si="2"/>
        <v>-0.37446884691975324</v>
      </c>
      <c r="J78" s="58">
        <f t="shared" si="3"/>
        <v>71.5</v>
      </c>
      <c r="K78" s="54">
        <f t="shared" si="4"/>
        <v>0.30378874546031609</v>
      </c>
      <c r="L78" s="54">
        <f t="shared" si="5"/>
        <v>0.31610459291192261</v>
      </c>
    </row>
    <row r="79" spans="8:13" x14ac:dyDescent="0.25">
      <c r="H79" s="56">
        <f t="shared" si="1"/>
        <v>1.0930077464758234</v>
      </c>
      <c r="I79" s="57">
        <f t="shared" si="2"/>
        <v>-0.3280340885778697</v>
      </c>
      <c r="J79" s="58">
        <f t="shared" si="3"/>
        <v>74</v>
      </c>
      <c r="K79" s="54">
        <f t="shared" si="4"/>
        <v>0.28827104584845231</v>
      </c>
      <c r="L79" s="54">
        <f t="shared" si="5"/>
        <v>0.30044031002735849</v>
      </c>
    </row>
    <row r="80" spans="8:13" x14ac:dyDescent="0.25">
      <c r="H80" s="56">
        <f t="shared" si="1"/>
        <v>1.0807025673190873</v>
      </c>
      <c r="I80" s="57">
        <f t="shared" si="2"/>
        <v>-0.28463428176159944</v>
      </c>
      <c r="J80" s="58">
        <f t="shared" si="3"/>
        <v>76.5</v>
      </c>
      <c r="K80" s="54">
        <f t="shared" si="4"/>
        <v>0.27376757496939064</v>
      </c>
      <c r="L80" s="54">
        <f t="shared" si="5"/>
        <v>0.28579983648165497</v>
      </c>
    </row>
    <row r="81" spans="8:12" x14ac:dyDescent="0.25">
      <c r="H81" s="56">
        <f t="shared" si="1"/>
        <v>1.0691761969697393</v>
      </c>
      <c r="I81" s="57">
        <f t="shared" si="2"/>
        <v>-0.24398129816154882</v>
      </c>
      <c r="J81" s="58">
        <f t="shared" si="3"/>
        <v>79</v>
      </c>
      <c r="K81" s="54">
        <f t="shared" si="4"/>
        <v>0.26018204528520594</v>
      </c>
      <c r="L81" s="54">
        <f t="shared" si="5"/>
        <v>0.27208597518567945</v>
      </c>
    </row>
    <row r="82" spans="8:12" x14ac:dyDescent="0.25">
      <c r="H82" s="56">
        <f t="shared" si="1"/>
        <v>1.0583569659056276</v>
      </c>
      <c r="I82" s="57">
        <f t="shared" si="2"/>
        <v>-0.20582236263512094</v>
      </c>
      <c r="J82" s="58">
        <f t="shared" si="3"/>
        <v>81.5</v>
      </c>
      <c r="K82" s="54">
        <f t="shared" si="4"/>
        <v>0.24742998367980573</v>
      </c>
      <c r="L82" s="54">
        <f t="shared" si="5"/>
        <v>0.25921345507350635</v>
      </c>
    </row>
    <row r="83" spans="8:12" x14ac:dyDescent="0.25">
      <c r="H83" s="56">
        <f t="shared" si="1"/>
        <v>1.0481817366905699</v>
      </c>
      <c r="I83" s="57">
        <f t="shared" si="2"/>
        <v>-0.16993479231859948</v>
      </c>
      <c r="J83" s="59">
        <f>ROUND(I27*2,0)/2</f>
        <v>84</v>
      </c>
      <c r="K83" s="54">
        <f t="shared" si="4"/>
        <v>0.23543697336044112</v>
      </c>
      <c r="L83" s="54">
        <f t="shared" si="5"/>
        <v>0.24710715639658143</v>
      </c>
    </row>
    <row r="84" spans="8:12" x14ac:dyDescent="0.25">
      <c r="H84" s="56">
        <f t="shared" si="1"/>
        <v>1.0385946710139551</v>
      </c>
      <c r="I84" s="57">
        <f t="shared" si="2"/>
        <v>-0.13612164803193474</v>
      </c>
      <c r="J84" s="58">
        <f t="shared" ref="J84:J90" si="6">J83+$I$52</f>
        <v>86.5</v>
      </c>
      <c r="K84" s="54">
        <f t="shared" si="4"/>
        <v>0.22413720063179143</v>
      </c>
      <c r="L84" s="54">
        <f t="shared" si="5"/>
        <v>0.23570064377034594</v>
      </c>
    </row>
    <row r="85" spans="8:12" x14ac:dyDescent="0.25">
      <c r="H85" s="56">
        <f t="shared" si="1"/>
        <v>1.0295462045326556</v>
      </c>
      <c r="I85" s="57">
        <f t="shared" si="2"/>
        <v>-0.10420811859283546</v>
      </c>
      <c r="J85" s="58">
        <f t="shared" si="6"/>
        <v>89</v>
      </c>
      <c r="K85" s="54">
        <f t="shared" si="4"/>
        <v>0.21347224659576214</v>
      </c>
      <c r="L85" s="54">
        <f t="shared" si="5"/>
        <v>0.22493494646019085</v>
      </c>
    </row>
    <row r="86" spans="8:12" x14ac:dyDescent="0.25">
      <c r="H86" s="56">
        <f t="shared" si="1"/>
        <v>1.0209921897716456</v>
      </c>
      <c r="I86" s="57">
        <f t="shared" si="2"/>
        <v>-7.4038497866255257E-2</v>
      </c>
      <c r="J86" s="58">
        <f t="shared" si="6"/>
        <v>91.5</v>
      </c>
      <c r="K86" s="54">
        <f t="shared" si="4"/>
        <v>0.20339007693328659</v>
      </c>
      <c r="L86" s="54">
        <f t="shared" si="5"/>
        <v>0.21475753862053626</v>
      </c>
    </row>
    <row r="87" spans="8:12" x14ac:dyDescent="0.25">
      <c r="H87" s="56">
        <f t="shared" si="1"/>
        <v>1.012893175795796</v>
      </c>
      <c r="I87" s="57">
        <f t="shared" si="2"/>
        <v>-4.5473644199599532E-2</v>
      </c>
      <c r="J87" s="58">
        <f t="shared" si="6"/>
        <v>94</v>
      </c>
      <c r="K87" s="54">
        <f t="shared" si="4"/>
        <v>0.19384419289115562</v>
      </c>
      <c r="L87" s="54">
        <f t="shared" si="5"/>
        <v>0.20512148226171445</v>
      </c>
    </row>
    <row r="88" spans="8:12" x14ac:dyDescent="0.25">
      <c r="H88" s="56">
        <f t="shared" si="1"/>
        <v>1.005213799849783</v>
      </c>
      <c r="I88" s="57">
        <f t="shared" si="2"/>
        <v>-1.8388834764376749E-2</v>
      </c>
      <c r="J88" s="58">
        <f t="shared" si="6"/>
        <v>96.5</v>
      </c>
      <c r="K88" s="54">
        <f t="shared" si="4"/>
        <v>0.18479291423980859</v>
      </c>
      <c r="L88" s="54">
        <f t="shared" si="5"/>
        <v>0.19598470343443775</v>
      </c>
    </row>
    <row r="89" spans="8:12" x14ac:dyDescent="0.25">
      <c r="H89" s="56">
        <f t="shared" si="1"/>
        <v>0.99792227117377053</v>
      </c>
      <c r="I89" s="57">
        <f t="shared" si="2"/>
        <v>7.3280550024004427E-3</v>
      </c>
      <c r="J89" s="58">
        <f t="shared" si="6"/>
        <v>99</v>
      </c>
      <c r="K89" s="54">
        <f t="shared" si="4"/>
        <v>0.17619877087388303</v>
      </c>
      <c r="L89" s="54">
        <f t="shared" si="5"/>
        <v>0.18730937808328596</v>
      </c>
    </row>
    <row r="90" spans="8:12" x14ac:dyDescent="0.25">
      <c r="H90" s="56">
        <f t="shared" si="1"/>
        <v>0.9909899311024879</v>
      </c>
      <c r="I90" s="57">
        <f t="shared" si="2"/>
        <v>3.1778102908745262E-2</v>
      </c>
      <c r="J90" s="58">
        <f t="shared" si="6"/>
        <v>101.5</v>
      </c>
      <c r="K90" s="54">
        <f t="shared" si="4"/>
        <v>0.16802798432401289</v>
      </c>
      <c r="L90" s="54">
        <f t="shared" si="5"/>
        <v>0.17906140866076248</v>
      </c>
    </row>
    <row r="92" spans="8:12" x14ac:dyDescent="0.25">
      <c r="H92" s="54" t="str" cm="1">
        <f t="array" ref="H92:J106">H76:J90</f>
        <v>Variação ajustada pela Duration</v>
      </c>
      <c r="I92" t="str">
        <v>Variação vs PL</v>
      </c>
      <c r="J92" t="str">
        <v>Preço Mercado</v>
      </c>
      <c r="K92" t="s">
        <v>137</v>
      </c>
      <c r="L92" t="s">
        <v>138</v>
      </c>
    </row>
    <row r="93" spans="8:12" x14ac:dyDescent="0.25">
      <c r="H93" s="54">
        <v>1.1202931437364128</v>
      </c>
      <c r="I93" s="54">
        <v>-0.42426844282264287</v>
      </c>
      <c r="J93" s="60">
        <v>69</v>
      </c>
      <c r="K93" s="62">
        <f t="shared" ref="K93:K106" si="7">(1+K77)/(1+$I$62)-1</f>
        <v>0.14639547291920851</v>
      </c>
      <c r="L93" s="62">
        <f t="shared" ref="L93:L106" si="8">(1+K77)/(1+$I$63)-1</f>
        <v>0.23716130041173367</v>
      </c>
    </row>
    <row r="94" spans="8:12" x14ac:dyDescent="0.25">
      <c r="H94" s="54">
        <v>1.1061734276714925</v>
      </c>
      <c r="I94" s="54">
        <v>-0.37446884691975324</v>
      </c>
      <c r="J94" s="60">
        <v>71.5</v>
      </c>
      <c r="K94" s="62">
        <f t="shared" si="7"/>
        <v>0.1319467737852098</v>
      </c>
      <c r="L94" s="62">
        <f t="shared" si="8"/>
        <v>0.22156862595327875</v>
      </c>
    </row>
    <row r="95" spans="8:12" x14ac:dyDescent="0.25">
      <c r="H95" s="54">
        <v>1.0930077464758234</v>
      </c>
      <c r="I95" s="54">
        <v>-0.3280340885778697</v>
      </c>
      <c r="J95" s="60">
        <v>74</v>
      </c>
      <c r="K95" s="62">
        <f t="shared" si="7"/>
        <v>0.11847433810621055</v>
      </c>
      <c r="L95" s="62">
        <f t="shared" si="8"/>
        <v>0.20702951057985408</v>
      </c>
    </row>
    <row r="96" spans="8:12" x14ac:dyDescent="0.25">
      <c r="H96" s="54">
        <v>1.0807025673190873</v>
      </c>
      <c r="I96" s="54">
        <v>-0.28463428176159944</v>
      </c>
      <c r="J96" s="60">
        <v>76.5</v>
      </c>
      <c r="K96" s="62">
        <f t="shared" si="7"/>
        <v>0.10588245377878036</v>
      </c>
      <c r="L96" s="62">
        <f t="shared" si="8"/>
        <v>0.19344066418508521</v>
      </c>
    </row>
    <row r="97" spans="8:12" x14ac:dyDescent="0.25">
      <c r="H97" s="54">
        <v>1.0691761969697393</v>
      </c>
      <c r="I97" s="54">
        <v>-0.24398129816154882</v>
      </c>
      <c r="J97" s="60">
        <v>79</v>
      </c>
      <c r="K97" s="62">
        <f t="shared" si="7"/>
        <v>9.4087524155617608E-2</v>
      </c>
      <c r="L97" s="62">
        <f t="shared" si="8"/>
        <v>0.18071187135960498</v>
      </c>
    </row>
    <row r="98" spans="8:12" x14ac:dyDescent="0.25">
      <c r="H98" s="54">
        <v>1.0583569659056276</v>
      </c>
      <c r="I98" s="54">
        <v>-0.20582236263512094</v>
      </c>
      <c r="J98" s="60">
        <v>81.5</v>
      </c>
      <c r="K98" s="62">
        <f t="shared" si="7"/>
        <v>8.3016209846759503E-2</v>
      </c>
      <c r="L98" s="62">
        <f t="shared" si="8"/>
        <v>0.16876398606943055</v>
      </c>
    </row>
    <row r="99" spans="8:12" x14ac:dyDescent="0.25">
      <c r="H99" s="54">
        <v>1.0481817366905699</v>
      </c>
      <c r="I99" s="54">
        <v>-0.16993479231859948</v>
      </c>
      <c r="J99" s="61">
        <v>84</v>
      </c>
      <c r="K99" s="62">
        <f t="shared" si="7"/>
        <v>7.260390234199976E-2</v>
      </c>
      <c r="L99" s="62">
        <f t="shared" si="8"/>
        <v>0.15752728442748065</v>
      </c>
    </row>
    <row r="100" spans="8:12" x14ac:dyDescent="0.25">
      <c r="H100" s="54">
        <v>1.0385946710139551</v>
      </c>
      <c r="I100" s="54">
        <v>-0.13612164803193474</v>
      </c>
      <c r="J100" s="60">
        <v>86.5</v>
      </c>
      <c r="K100" s="62">
        <f t="shared" si="7"/>
        <v>6.2793462323064819E-2</v>
      </c>
      <c r="L100" s="62">
        <f t="shared" si="8"/>
        <v>0.14694010311165528</v>
      </c>
    </row>
    <row r="101" spans="8:12" x14ac:dyDescent="0.25">
      <c r="H101" s="54">
        <v>1.0295462045326556</v>
      </c>
      <c r="I101" s="54">
        <v>-0.10420811859283546</v>
      </c>
      <c r="J101" s="60">
        <v>89</v>
      </c>
      <c r="K101" s="62">
        <f t="shared" si="7"/>
        <v>5.3534170619799815E-2</v>
      </c>
      <c r="L101" s="62">
        <f t="shared" si="8"/>
        <v>0.13694770726301075</v>
      </c>
    </row>
    <row r="102" spans="8:12" x14ac:dyDescent="0.25">
      <c r="H102" s="54">
        <v>1.0209921897716456</v>
      </c>
      <c r="I102" s="54">
        <v>-7.4038497866255257E-2</v>
      </c>
      <c r="J102" s="60">
        <v>91.5</v>
      </c>
      <c r="K102" s="62">
        <f t="shared" si="7"/>
        <v>4.478085114075725E-2</v>
      </c>
      <c r="L102" s="62">
        <f t="shared" si="8"/>
        <v>0.12750134397440149</v>
      </c>
    </row>
    <row r="103" spans="8:12" x14ac:dyDescent="0.25">
      <c r="H103" s="54">
        <v>1.012893175795796</v>
      </c>
      <c r="I103" s="54">
        <v>-4.5473644199599532E-2</v>
      </c>
      <c r="J103" s="60">
        <v>94</v>
      </c>
      <c r="K103" s="62">
        <f t="shared" si="7"/>
        <v>3.6493133761663854E-2</v>
      </c>
      <c r="L103" s="62">
        <f t="shared" si="8"/>
        <v>0.11855744681816538</v>
      </c>
    </row>
    <row r="104" spans="8:12" x14ac:dyDescent="0.25">
      <c r="H104" s="54">
        <v>1.005213799849783</v>
      </c>
      <c r="I104" s="54">
        <v>-1.8388834764376749E-2</v>
      </c>
      <c r="J104" s="60">
        <v>96.5</v>
      </c>
      <c r="K104" s="62">
        <f t="shared" si="7"/>
        <v>2.8634831790813386E-2</v>
      </c>
      <c r="L104" s="62">
        <f t="shared" si="8"/>
        <v>0.11007696402235578</v>
      </c>
    </row>
    <row r="105" spans="8:12" x14ac:dyDescent="0.25">
      <c r="H105" s="54">
        <v>0.99792227117377053</v>
      </c>
      <c r="I105" s="54">
        <v>7.3280550024004427E-3</v>
      </c>
      <c r="J105" s="60">
        <v>99</v>
      </c>
      <c r="K105" s="62">
        <f t="shared" si="7"/>
        <v>2.1173413757884951E-2</v>
      </c>
      <c r="L105" s="62">
        <f t="shared" si="8"/>
        <v>0.10202478843845597</v>
      </c>
    </row>
    <row r="106" spans="8:12" x14ac:dyDescent="0.25">
      <c r="H106" s="54">
        <v>0.9909899311024879</v>
      </c>
      <c r="I106" s="54">
        <v>3.1778102908745262E-2</v>
      </c>
      <c r="J106" s="60">
        <v>101.5</v>
      </c>
      <c r="K106" s="62">
        <f t="shared" si="7"/>
        <v>1.4079553263524058E-2</v>
      </c>
      <c r="L106" s="62">
        <f t="shared" si="8"/>
        <v>9.4369271750314399E-2</v>
      </c>
    </row>
    <row r="108" spans="8:12" x14ac:dyDescent="0.25">
      <c r="H108" t="str" cm="1">
        <f t="array" ref="H108:J122">H76:J90</f>
        <v>Variação ajustada pela Duration</v>
      </c>
      <c r="I108" t="str">
        <v>Variação vs PL</v>
      </c>
      <c r="J108" t="str">
        <v>Preço Mercado</v>
      </c>
      <c r="K108" t="s">
        <v>139</v>
      </c>
      <c r="L108" t="s">
        <v>140</v>
      </c>
    </row>
    <row r="109" spans="8:12" x14ac:dyDescent="0.25">
      <c r="H109" s="54">
        <v>1.1202931437364128</v>
      </c>
      <c r="I109" s="54">
        <v>-0.42426844282264287</v>
      </c>
      <c r="J109" s="60">
        <v>69</v>
      </c>
      <c r="K109" s="62">
        <f t="shared" ref="K109:K122" si="9">(1+L77)/(1+$I$62)-1</f>
        <v>0.15722455225652121</v>
      </c>
      <c r="L109" s="62">
        <f t="shared" ref="L109:L122" si="10">(1+L77)/(1+$I$63)-1</f>
        <v>0.248847771783691</v>
      </c>
    </row>
    <row r="110" spans="8:12" x14ac:dyDescent="0.25">
      <c r="H110" s="54">
        <v>1.1061734276714925</v>
      </c>
      <c r="I110" s="54">
        <v>-0.37446884691975324</v>
      </c>
      <c r="J110" s="60">
        <v>71.5</v>
      </c>
      <c r="K110" s="62">
        <f t="shared" si="9"/>
        <v>0.14263936784066367</v>
      </c>
      <c r="L110" s="62">
        <f t="shared" si="10"/>
        <v>0.23310780582524293</v>
      </c>
    </row>
    <row r="111" spans="8:12" x14ac:dyDescent="0.25">
      <c r="H111" s="54">
        <v>1.0930077464758234</v>
      </c>
      <c r="I111" s="54">
        <v>-0.3280340885778697</v>
      </c>
      <c r="J111" s="60">
        <v>74</v>
      </c>
      <c r="K111" s="62">
        <f t="shared" si="9"/>
        <v>0.12903966885830975</v>
      </c>
      <c r="L111" s="62">
        <f t="shared" si="10"/>
        <v>0.21843135108020317</v>
      </c>
    </row>
    <row r="112" spans="8:12" x14ac:dyDescent="0.25">
      <c r="H112" s="54">
        <v>1.0807025673190873</v>
      </c>
      <c r="I112" s="54">
        <v>-0.28463428176159944</v>
      </c>
      <c r="J112" s="60">
        <v>76.5</v>
      </c>
      <c r="K112" s="62">
        <f t="shared" si="9"/>
        <v>0.11632883909048886</v>
      </c>
      <c r="L112" s="62">
        <f t="shared" si="10"/>
        <v>0.20471414174333624</v>
      </c>
    </row>
    <row r="113" spans="8:12" x14ac:dyDescent="0.25">
      <c r="H113" s="54">
        <v>1.0691761969697393</v>
      </c>
      <c r="I113" s="54">
        <v>-0.24398129816154882</v>
      </c>
      <c r="J113" s="60">
        <v>79</v>
      </c>
      <c r="K113" s="62">
        <f t="shared" si="9"/>
        <v>0.1044224922193655</v>
      </c>
      <c r="L113" s="62">
        <f t="shared" si="10"/>
        <v>0.19186511021259989</v>
      </c>
    </row>
    <row r="114" spans="8:12" x14ac:dyDescent="0.25">
      <c r="H114" s="54">
        <v>1.0583569659056276</v>
      </c>
      <c r="I114" s="54">
        <v>-0.20582236263512094</v>
      </c>
      <c r="J114" s="60">
        <v>81.5</v>
      </c>
      <c r="K114" s="62">
        <f t="shared" si="9"/>
        <v>9.3246596076532073E-2</v>
      </c>
      <c r="L114" s="62">
        <f t="shared" si="10"/>
        <v>0.17980436282485379</v>
      </c>
    </row>
    <row r="115" spans="8:12" x14ac:dyDescent="0.25">
      <c r="H115" s="54">
        <v>1.0481817366905699</v>
      </c>
      <c r="I115" s="54">
        <v>-0.16993479231859948</v>
      </c>
      <c r="J115" s="61">
        <v>84</v>
      </c>
      <c r="K115" s="62">
        <f t="shared" si="9"/>
        <v>8.2735931846962263E-2</v>
      </c>
      <c r="L115" s="62">
        <f t="shared" si="10"/>
        <v>0.1684615170673307</v>
      </c>
    </row>
    <row r="116" spans="8:12" x14ac:dyDescent="0.25">
      <c r="H116" s="54">
        <v>1.0385946710139551</v>
      </c>
      <c r="I116" s="54">
        <v>-0.13612164803193474</v>
      </c>
      <c r="J116" s="60">
        <v>86.5</v>
      </c>
      <c r="K116" s="62">
        <f t="shared" si="9"/>
        <v>7.2832820463032633E-2</v>
      </c>
      <c r="L116" s="62">
        <f t="shared" si="10"/>
        <v>0.15777432713394179</v>
      </c>
    </row>
    <row r="117" spans="8:12" x14ac:dyDescent="0.25">
      <c r="H117" s="54">
        <v>1.0295462045326556</v>
      </c>
      <c r="I117" s="54">
        <v>-0.10420811859283546</v>
      </c>
      <c r="J117" s="60">
        <v>89</v>
      </c>
      <c r="K117" s="62">
        <f t="shared" si="9"/>
        <v>6.3486063651233549E-2</v>
      </c>
      <c r="L117" s="62">
        <f t="shared" si="10"/>
        <v>0.14768754112939475</v>
      </c>
    </row>
    <row r="118" spans="8:12" x14ac:dyDescent="0.25">
      <c r="H118" s="54">
        <v>1.0209921897716456</v>
      </c>
      <c r="I118" s="54">
        <v>-7.4038497866255257E-2</v>
      </c>
      <c r="J118" s="60">
        <v>91.5</v>
      </c>
      <c r="K118" s="62">
        <f t="shared" si="9"/>
        <v>5.4650058577784266E-2</v>
      </c>
      <c r="L118" s="62">
        <f t="shared" si="10"/>
        <v>0.13815194561689959</v>
      </c>
    </row>
    <row r="119" spans="8:12" x14ac:dyDescent="0.25">
      <c r="H119" s="54">
        <v>1.012893175795796</v>
      </c>
      <c r="I119" s="54">
        <v>-4.5473644199599532E-2</v>
      </c>
      <c r="J119" s="60">
        <v>94</v>
      </c>
      <c r="K119" s="62">
        <f t="shared" si="9"/>
        <v>4.6284053774199529E-2</v>
      </c>
      <c r="L119" s="62">
        <f t="shared" si="10"/>
        <v>0.12912356263166491</v>
      </c>
    </row>
    <row r="120" spans="8:12" x14ac:dyDescent="0.25">
      <c r="H120" s="54">
        <v>1.005213799849783</v>
      </c>
      <c r="I120" s="54">
        <v>-1.8388834764376749E-2</v>
      </c>
      <c r="J120" s="60">
        <v>96.5</v>
      </c>
      <c r="K120" s="62">
        <f t="shared" si="9"/>
        <v>3.8351520722095689E-2</v>
      </c>
      <c r="L120" s="62">
        <f t="shared" si="10"/>
        <v>0.12056297151095019</v>
      </c>
    </row>
    <row r="121" spans="8:12" x14ac:dyDescent="0.25">
      <c r="H121" s="54">
        <v>0.99792227117377053</v>
      </c>
      <c r="I121" s="54">
        <v>7.3280550024004427E-3</v>
      </c>
      <c r="J121" s="60">
        <v>99</v>
      </c>
      <c r="K121" s="62">
        <f t="shared" si="9"/>
        <v>3.0819620652421387E-2</v>
      </c>
      <c r="L121" s="62">
        <f t="shared" si="10"/>
        <v>0.11243473347714006</v>
      </c>
    </row>
    <row r="122" spans="8:12" x14ac:dyDescent="0.25">
      <c r="H122" s="54">
        <v>0.9909899311024879</v>
      </c>
      <c r="I122" s="54">
        <v>3.1778102908745262E-2</v>
      </c>
      <c r="J122" s="60">
        <v>101.5</v>
      </c>
      <c r="K122" s="62">
        <f t="shared" si="9"/>
        <v>2.3658750142829366E-2</v>
      </c>
      <c r="L122" s="62">
        <f t="shared" si="10"/>
        <v>0.10470690125780346</v>
      </c>
    </row>
    <row r="124" spans="8:12" x14ac:dyDescent="0.25">
      <c r="H124" t="str" cm="1">
        <f t="array" ref="H124:J138">H76:J90</f>
        <v>Variação ajustada pela Duration</v>
      </c>
      <c r="I124" t="str">
        <v>Variação vs PL</v>
      </c>
      <c r="J124" t="str">
        <v>Preço Mercado</v>
      </c>
      <c r="K124" t="s">
        <v>141</v>
      </c>
      <c r="L124" t="s">
        <v>142</v>
      </c>
    </row>
    <row r="125" spans="8:12" x14ac:dyDescent="0.25">
      <c r="H125">
        <v>1.1202931437364128</v>
      </c>
      <c r="I125">
        <v>-0.42426844282264287</v>
      </c>
      <c r="J125" s="60">
        <v>69</v>
      </c>
      <c r="K125" s="62">
        <f t="shared" ref="K125:L138" si="11">K109-$I$34</f>
        <v>0.1412245522565212</v>
      </c>
      <c r="L125" s="62">
        <f t="shared" si="11"/>
        <v>0.23284777178369098</v>
      </c>
    </row>
    <row r="126" spans="8:12" x14ac:dyDescent="0.25">
      <c r="H126">
        <v>1.1061734276714925</v>
      </c>
      <c r="I126">
        <v>-0.37446884691975324</v>
      </c>
      <c r="J126" s="60">
        <v>71.5</v>
      </c>
      <c r="K126" s="62">
        <f t="shared" si="11"/>
        <v>0.12663936784066365</v>
      </c>
      <c r="L126" s="62">
        <f t="shared" si="11"/>
        <v>0.21710780582524292</v>
      </c>
    </row>
    <row r="127" spans="8:12" x14ac:dyDescent="0.25">
      <c r="H127">
        <v>1.0930077464758234</v>
      </c>
      <c r="I127">
        <v>-0.3280340885778697</v>
      </c>
      <c r="J127" s="60">
        <v>74</v>
      </c>
      <c r="K127" s="62">
        <f t="shared" si="11"/>
        <v>0.11303966885830975</v>
      </c>
      <c r="L127" s="62">
        <f t="shared" si="11"/>
        <v>0.20243135108020316</v>
      </c>
    </row>
    <row r="128" spans="8:12" x14ac:dyDescent="0.25">
      <c r="H128">
        <v>1.0807025673190873</v>
      </c>
      <c r="I128">
        <v>-0.28463428176159944</v>
      </c>
      <c r="J128" s="60">
        <v>76.5</v>
      </c>
      <c r="K128" s="62">
        <f t="shared" si="11"/>
        <v>0.10032883909048886</v>
      </c>
      <c r="L128" s="62">
        <f t="shared" si="11"/>
        <v>0.18871414174333623</v>
      </c>
    </row>
    <row r="129" spans="8:12" x14ac:dyDescent="0.25">
      <c r="H129">
        <v>1.0691761969697393</v>
      </c>
      <c r="I129">
        <v>-0.24398129816154882</v>
      </c>
      <c r="J129" s="60">
        <v>79</v>
      </c>
      <c r="K129" s="62">
        <f t="shared" si="11"/>
        <v>8.8422492219365503E-2</v>
      </c>
      <c r="L129" s="62">
        <f t="shared" si="11"/>
        <v>0.17586511021259987</v>
      </c>
    </row>
    <row r="130" spans="8:12" x14ac:dyDescent="0.25">
      <c r="H130">
        <v>1.0583569659056276</v>
      </c>
      <c r="I130">
        <v>-0.20582236263512094</v>
      </c>
      <c r="J130" s="60">
        <v>81.5</v>
      </c>
      <c r="K130" s="62">
        <f t="shared" si="11"/>
        <v>7.7246596076532073E-2</v>
      </c>
      <c r="L130" s="62">
        <f t="shared" si="11"/>
        <v>0.16380436282485378</v>
      </c>
    </row>
    <row r="131" spans="8:12" x14ac:dyDescent="0.25">
      <c r="H131">
        <v>1.0481817366905699</v>
      </c>
      <c r="I131">
        <v>-0.16993479231859948</v>
      </c>
      <c r="J131" s="60">
        <v>84</v>
      </c>
      <c r="K131" s="62">
        <f t="shared" si="11"/>
        <v>6.6735931846962263E-2</v>
      </c>
      <c r="L131" s="62">
        <f t="shared" si="11"/>
        <v>0.15246151706733069</v>
      </c>
    </row>
    <row r="132" spans="8:12" x14ac:dyDescent="0.25">
      <c r="H132">
        <v>1.0385946710139551</v>
      </c>
      <c r="I132">
        <v>-0.13612164803193474</v>
      </c>
      <c r="J132" s="60">
        <v>86.5</v>
      </c>
      <c r="K132" s="62">
        <f t="shared" si="11"/>
        <v>5.6832820463032632E-2</v>
      </c>
      <c r="L132" s="62">
        <f t="shared" si="11"/>
        <v>0.14177432713394178</v>
      </c>
    </row>
    <row r="133" spans="8:12" x14ac:dyDescent="0.25">
      <c r="H133">
        <v>1.0295462045326556</v>
      </c>
      <c r="I133">
        <v>-0.10420811859283546</v>
      </c>
      <c r="J133" s="60">
        <v>89</v>
      </c>
      <c r="K133" s="62">
        <f t="shared" si="11"/>
        <v>4.7486063651233548E-2</v>
      </c>
      <c r="L133" s="62">
        <f t="shared" si="11"/>
        <v>0.13168754112939474</v>
      </c>
    </row>
    <row r="134" spans="8:12" x14ac:dyDescent="0.25">
      <c r="H134">
        <v>1.0209921897716456</v>
      </c>
      <c r="I134">
        <v>-7.4038497866255257E-2</v>
      </c>
      <c r="J134" s="60">
        <v>91.5</v>
      </c>
      <c r="K134" s="62">
        <f t="shared" si="11"/>
        <v>3.8650058577784266E-2</v>
      </c>
      <c r="L134" s="62">
        <f t="shared" si="11"/>
        <v>0.12215194561689958</v>
      </c>
    </row>
    <row r="135" spans="8:12" x14ac:dyDescent="0.25">
      <c r="H135">
        <v>1.012893175795796</v>
      </c>
      <c r="I135">
        <v>-4.5473644199599532E-2</v>
      </c>
      <c r="J135" s="60">
        <v>94</v>
      </c>
      <c r="K135" s="62">
        <f t="shared" si="11"/>
        <v>3.0284053774199529E-2</v>
      </c>
      <c r="L135" s="62">
        <f t="shared" si="11"/>
        <v>0.11312356263166491</v>
      </c>
    </row>
    <row r="136" spans="8:12" x14ac:dyDescent="0.25">
      <c r="H136">
        <v>1.005213799849783</v>
      </c>
      <c r="I136">
        <v>-1.8388834764376749E-2</v>
      </c>
      <c r="J136" s="60">
        <v>96.5</v>
      </c>
      <c r="K136" s="62">
        <f t="shared" si="11"/>
        <v>2.2351520722095689E-2</v>
      </c>
      <c r="L136" s="62">
        <f t="shared" si="11"/>
        <v>0.10456297151095019</v>
      </c>
    </row>
    <row r="137" spans="8:12" x14ac:dyDescent="0.25">
      <c r="H137">
        <v>0.99792227117377053</v>
      </c>
      <c r="I137">
        <v>7.3280550024004427E-3</v>
      </c>
      <c r="J137" s="60">
        <v>99</v>
      </c>
      <c r="K137" s="62">
        <f t="shared" si="11"/>
        <v>1.4819620652421386E-2</v>
      </c>
      <c r="L137" s="62">
        <f t="shared" si="11"/>
        <v>9.6434733477140058E-2</v>
      </c>
    </row>
    <row r="138" spans="8:12" x14ac:dyDescent="0.25">
      <c r="H138">
        <v>0.9909899311024879</v>
      </c>
      <c r="I138">
        <v>3.1778102908745262E-2</v>
      </c>
      <c r="J138" s="60">
        <v>101.5</v>
      </c>
      <c r="K138" s="62">
        <f t="shared" si="11"/>
        <v>7.6587501428293653E-3</v>
      </c>
      <c r="L138" s="62">
        <f t="shared" si="11"/>
        <v>8.8706901257803464E-2</v>
      </c>
    </row>
    <row r="140" spans="8:12" x14ac:dyDescent="0.25">
      <c r="H140" t="s">
        <v>133</v>
      </c>
      <c r="I140" t="s">
        <v>134</v>
      </c>
      <c r="J140" t="s">
        <v>176</v>
      </c>
      <c r="K140" t="s">
        <v>135</v>
      </c>
      <c r="L140" t="s">
        <v>136</v>
      </c>
    </row>
    <row r="141" spans="8:12" x14ac:dyDescent="0.25">
      <c r="H141" s="56">
        <f>1- I141/$I$50</f>
        <v>1.0000130485731058</v>
      </c>
      <c r="I141" s="57">
        <f>(J141-$I$26)/J141</f>
        <v>-4.6021723439098271E-5</v>
      </c>
      <c r="J141" s="59">
        <f>Sensibilidade!I27</f>
        <v>98.27</v>
      </c>
      <c r="K141" s="54">
        <f>(1+$I$74) * ($H141) - 1</f>
        <v>0.17866306080738292</v>
      </c>
      <c r="L141" s="54">
        <f>(1+$J$74) * ($H141) - 1</f>
        <v>0.1897969461889617</v>
      </c>
    </row>
    <row r="143" spans="8:12" x14ac:dyDescent="0.25">
      <c r="H143" t="s">
        <v>133</v>
      </c>
      <c r="I143" t="s">
        <v>134</v>
      </c>
      <c r="J143" t="s">
        <v>176</v>
      </c>
      <c r="K143" t="s">
        <v>140</v>
      </c>
      <c r="L143" t="s">
        <v>142</v>
      </c>
    </row>
    <row r="144" spans="8:12" x14ac:dyDescent="0.25">
      <c r="H144" s="56" cm="1">
        <f t="array" ref="H144:J144">H141:J141</f>
        <v>1.0000130485731058</v>
      </c>
      <c r="I144" s="57">
        <v>-4.6021723439098271E-5</v>
      </c>
      <c r="J144" s="59">
        <v>98.27</v>
      </c>
      <c r="K144" s="54">
        <f>(1+L141)/(1+$I$63)-1</f>
        <v>0.11476542943029666</v>
      </c>
      <c r="L144" s="54">
        <f>K144-$I$34</f>
        <v>9.8765429430296661E-2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2A58BD6A758C46924C5ED63FB4026C" ma:contentTypeVersion="14" ma:contentTypeDescription="Crie um novo documento." ma:contentTypeScope="" ma:versionID="31b4457eb35db325452646432a9f83a3">
  <xsd:schema xmlns:xsd="http://www.w3.org/2001/XMLSchema" xmlns:xs="http://www.w3.org/2001/XMLSchema" xmlns:p="http://schemas.microsoft.com/office/2006/metadata/properties" xmlns:ns2="69bb8421-88ee-4b6c-9393-7619157d38c9" xmlns:ns3="ec1952d2-7a18-4d18-ba4e-07b2f6744b07" targetNamespace="http://schemas.microsoft.com/office/2006/metadata/properties" ma:root="true" ma:fieldsID="5c7e661a4b32490333b769b8077ee461" ns2:_="" ns3:_="">
    <xsd:import namespace="69bb8421-88ee-4b6c-9393-7619157d38c9"/>
    <xsd:import namespace="ec1952d2-7a18-4d18-ba4e-07b2f6744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b8421-88ee-4b6c-9393-7619157d3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1952d2-7a18-4d18-ba4e-07b2f6744b0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da5e19-b07e-487d-b714-8b9396110942}" ma:internalName="TaxCatchAll" ma:showField="CatchAllData" ma:web="ec1952d2-7a18-4d18-ba4e-07b2f6744b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bb8421-88ee-4b6c-9393-7619157d38c9">
      <Terms xmlns="http://schemas.microsoft.com/office/infopath/2007/PartnerControls"/>
    </lcf76f155ced4ddcb4097134ff3c332f>
    <TaxCatchAll xmlns="ec1952d2-7a18-4d18-ba4e-07b2f6744b07" xsi:nil="true"/>
  </documentManagement>
</p:properties>
</file>

<file path=customXml/itemProps1.xml><?xml version="1.0" encoding="utf-8"?>
<ds:datastoreItem xmlns:ds="http://schemas.openxmlformats.org/officeDocument/2006/customXml" ds:itemID="{9959B112-5957-4313-8973-927647717C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2A19C9-D38C-40D5-9972-5DA37ED9D5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bb8421-88ee-4b6c-9393-7619157d38c9"/>
    <ds:schemaRef ds:uri="ec1952d2-7a18-4d18-ba4e-07b2f6744b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8132E31-9BD0-480F-8EED-0617C0961C4C}">
  <ds:schemaRefs>
    <ds:schemaRef ds:uri="http://schemas.microsoft.com/office/2006/metadata/properties"/>
    <ds:schemaRef ds:uri="http://schemas.microsoft.com/office/infopath/2007/PartnerControls"/>
    <ds:schemaRef ds:uri="93477490-447c-40b5-9161-7709cf92fcd6"/>
    <ds:schemaRef ds:uri="cde9475b-d5d7-4df4-a7a9-2e86df0fc127"/>
    <ds:schemaRef ds:uri="69bb8421-88ee-4b6c-9393-7619157d38c9"/>
    <ds:schemaRef ds:uri="ec1952d2-7a18-4d18-ba4e-07b2f6744b0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aux_sensibilidade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Sabrina Pirillo</cp:lastModifiedBy>
  <dcterms:created xsi:type="dcterms:W3CDTF">2021-07-07T18:58:53Z</dcterms:created>
  <dcterms:modified xsi:type="dcterms:W3CDTF">2025-03-20T21:59:21Z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0x010100692A58BD6A758C46924C5ED63FB4026C</vt:lpwstr>
  </property>
  <property fmtid="{D5CDD505-2E9C-101B-9397-08002B2CF9AE}" pid="3" name="MediaServiceImageTags">
    <vt:lpwstr/>
  </property>
</Properties>
</file>